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40" tabRatio="632" activeTab="5"/>
  </bookViews>
  <sheets>
    <sheet name="1月" sheetId="1" r:id="rId1"/>
    <sheet name="2月" sheetId="2" r:id="rId2"/>
    <sheet name="3月" sheetId="3" r:id="rId3"/>
    <sheet name="4月" sheetId="4" r:id="rId4"/>
    <sheet name="5月" sheetId="5" r:id="rId5"/>
    <sheet name="6月" sheetId="6" r:id="rId6"/>
    <sheet name="得点計" sheetId="7" r:id="rId7"/>
    <sheet name="ｺﾐｯﾃｨｰ" sheetId="8" r:id="rId8"/>
    <sheet name="参照ﾃﾞｰﾀ" sheetId="9" r:id="rId9"/>
  </sheets>
  <definedNames>
    <definedName name="_xlfn.IFERROR" hidden="1">#NAME?</definedName>
    <definedName name="_xlnm.Print_Area" localSheetId="0">'1月'!$B$2:$Q$41</definedName>
    <definedName name="_xlnm.Print_Area" localSheetId="1">'2月'!$B$2:$Q$41</definedName>
    <definedName name="_xlnm.Print_Area" localSheetId="2">'3月'!$B$2:$Q$41</definedName>
    <definedName name="_xlnm.Print_Area" localSheetId="3">'4月'!$B$2:$Q$41</definedName>
    <definedName name="_xlnm.Print_Area" localSheetId="4">'5月'!$B$2:$Q$41</definedName>
    <definedName name="_xlnm.Print_Area" localSheetId="5">'6月'!$B$2:$Q$41</definedName>
    <definedName name="_xlnm.Print_Area" localSheetId="7">'ｺﾐｯﾃｨｰ'!$B$2:$M$33</definedName>
    <definedName name="_xlnm.Print_Area" localSheetId="6">'得点計'!$B$1:$V$43</definedName>
    <definedName name="ＴＡ">'参照ﾃﾞｰﾀ'!$Z$3:$Z$7</definedName>
    <definedName name="コース">'参照ﾃﾞｰﾀ'!$J$3:$J$15</definedName>
    <definedName name="コース・距離">'参照ﾃﾞｰﾀ'!$J$3:$L$15</definedName>
    <definedName name="レース番号">'参照ﾃﾞｰﾀ'!$T$3:$T$18</definedName>
    <definedName name="レース名">'参照ﾃﾞｰﾀ'!$V$3:$V$6</definedName>
    <definedName name="開催日">'参照ﾃﾞｰﾀ'!$R$3:$R$18</definedName>
    <definedName name="各艇データ">'参照ﾃﾞｰﾀ'!$C$4:$H$70</definedName>
    <definedName name="月">'参照ﾃﾞｰﾀ'!$P$3:$P$16</definedName>
    <definedName name="暫定">'参照ﾃﾞｰﾀ'!$X$3:$X$5</definedName>
    <definedName name="時刻">'参照ﾃﾞｰﾀ'!$AB$3:$AB$12</definedName>
    <definedName name="得点">'参照ﾃﾞｰﾀ'!$AD$3:$AD$7</definedName>
    <definedName name="年">'参照ﾃﾞｰﾀ'!$N$3:$N$12</definedName>
  </definedNames>
  <calcPr fullCalcOnLoad="1"/>
</workbook>
</file>

<file path=xl/sharedStrings.xml><?xml version="1.0" encoding="utf-8"?>
<sst xmlns="http://schemas.openxmlformats.org/spreadsheetml/2006/main" count="863" uniqueCount="426">
  <si>
    <t>参加数</t>
  </si>
  <si>
    <t xml:space="preserve"> 艇 </t>
  </si>
  <si>
    <t>ＴＡのリスト（参照用）</t>
  </si>
  <si>
    <t>順位</t>
  </si>
  <si>
    <t>SAIL</t>
  </si>
  <si>
    <t>艇　　名</t>
  </si>
  <si>
    <t>R</t>
  </si>
  <si>
    <t>着順</t>
  </si>
  <si>
    <t>着時間</t>
  </si>
  <si>
    <t>ET</t>
  </si>
  <si>
    <t>TA</t>
  </si>
  <si>
    <t>PN</t>
  </si>
  <si>
    <t>ＣＴ</t>
  </si>
  <si>
    <t>得点</t>
  </si>
  <si>
    <t>NO.</t>
  </si>
  <si>
    <t xml:space="preserve">m </t>
  </si>
  <si>
    <t>H：M：S</t>
  </si>
  <si>
    <t xml:space="preserve">S </t>
  </si>
  <si>
    <t xml:space="preserve">% </t>
  </si>
  <si>
    <t xml:space="preserve">Kt </t>
  </si>
  <si>
    <t>Ⅰ</t>
  </si>
  <si>
    <t>Ⅲ</t>
  </si>
  <si>
    <t>Ⅱ</t>
  </si>
  <si>
    <t>各艇データ</t>
  </si>
  <si>
    <t>SAIL No.</t>
  </si>
  <si>
    <t>艇　名</t>
  </si>
  <si>
    <t>R（m）</t>
  </si>
  <si>
    <t>TA　Ⅱ</t>
  </si>
  <si>
    <t>TA　Ⅲ</t>
  </si>
  <si>
    <t>ｲｴﾛｰﾏｼﾞｯｸ</t>
  </si>
  <si>
    <t>ふるたか</t>
  </si>
  <si>
    <t>さがみ</t>
  </si>
  <si>
    <t>ノアノア</t>
  </si>
  <si>
    <t>サ－モン4</t>
  </si>
  <si>
    <t>はやとり</t>
  </si>
  <si>
    <t>かまくら</t>
  </si>
  <si>
    <t>飛車角</t>
  </si>
  <si>
    <t>八丈</t>
  </si>
  <si>
    <t>Ｋ７</t>
  </si>
  <si>
    <t>ﾌﾘｰﾄﾞﾘｽⅦ</t>
  </si>
  <si>
    <t>チルデ</t>
  </si>
  <si>
    <t>PUSSY CATS</t>
  </si>
  <si>
    <t>波勝</t>
  </si>
  <si>
    <t>衣笠</t>
  </si>
  <si>
    <t>アズサ</t>
  </si>
  <si>
    <t>くろしお</t>
  </si>
  <si>
    <t>イクソラⅢ</t>
  </si>
  <si>
    <t>Anyway-Ⅱ</t>
  </si>
  <si>
    <t>飛天</t>
  </si>
  <si>
    <t>アイデアル</t>
  </si>
  <si>
    <t>未央</t>
  </si>
  <si>
    <t>雪風</t>
  </si>
  <si>
    <t>シンシア</t>
  </si>
  <si>
    <t>アルファ</t>
  </si>
  <si>
    <t>FUHTA</t>
  </si>
  <si>
    <t>ﾌﾟﾗｳﾄﾞﾒｱﾘｰ</t>
  </si>
  <si>
    <t>ｱｶﾃﾞﾐｰ11</t>
  </si>
  <si>
    <t>TA Ⅰ</t>
  </si>
  <si>
    <t>S/NM</t>
  </si>
  <si>
    <t>初島</t>
  </si>
  <si>
    <t>Ａ</t>
  </si>
  <si>
    <t>Ｂ</t>
  </si>
  <si>
    <t>Ｅ</t>
  </si>
  <si>
    <t>Ｆ</t>
  </si>
  <si>
    <t>Ｄ</t>
  </si>
  <si>
    <t>コース</t>
  </si>
  <si>
    <t>Ｋ</t>
  </si>
  <si>
    <t>月</t>
  </si>
  <si>
    <t>スタート</t>
  </si>
  <si>
    <t xml:space="preserve"> (暫定) </t>
  </si>
  <si>
    <t>レース番号</t>
  </si>
  <si>
    <t>暫定版</t>
  </si>
  <si>
    <r>
      <rPr>
        <b/>
        <sz val="11"/>
        <rFont val="ＭＳ 明朝"/>
        <family val="1"/>
      </rPr>
      <t>ﾄｯﾌﾟ</t>
    </r>
    <r>
      <rPr>
        <b/>
        <sz val="8"/>
        <rFont val="ＭＳ 明朝"/>
        <family val="1"/>
      </rPr>
      <t>との</t>
    </r>
    <r>
      <rPr>
        <b/>
        <sz val="11"/>
        <rFont val="ＭＳ 明朝"/>
        <family val="1"/>
      </rPr>
      <t>差</t>
    </r>
  </si>
  <si>
    <r>
      <rPr>
        <b/>
        <sz val="11"/>
        <rFont val="ＭＳ 明朝"/>
        <family val="1"/>
      </rPr>
      <t>ﾄｯﾌ</t>
    </r>
    <r>
      <rPr>
        <b/>
        <sz val="10"/>
        <rFont val="ＭＳ 明朝"/>
        <family val="1"/>
      </rPr>
      <t>ﾟ</t>
    </r>
    <r>
      <rPr>
        <b/>
        <sz val="8"/>
        <rFont val="ＭＳ 明朝"/>
        <family val="1"/>
      </rPr>
      <t>との</t>
    </r>
    <r>
      <rPr>
        <b/>
        <sz val="11"/>
        <rFont val="ＭＳ 明朝"/>
        <family val="1"/>
      </rPr>
      <t>差</t>
    </r>
  </si>
  <si>
    <t>開催年</t>
  </si>
  <si>
    <t>年</t>
  </si>
  <si>
    <t>開催月</t>
  </si>
  <si>
    <t>レース番号</t>
  </si>
  <si>
    <r>
      <rPr>
        <sz val="12"/>
        <rFont val="ＭＳ 明朝"/>
        <family val="1"/>
      </rPr>
      <t xml:space="preserve"> CT=ET-TA×D</t>
    </r>
    <r>
      <rPr>
        <sz val="11"/>
        <rFont val="ＭＳ 明朝"/>
        <family val="1"/>
      </rPr>
      <t xml:space="preserve">
 </t>
    </r>
    <r>
      <rPr>
        <sz val="10"/>
        <rFont val="ＭＳ 明朝"/>
        <family val="1"/>
      </rPr>
      <t>CT:修正時間(S)   ET:所要時間(S)
 TA:ｱﾛｰﾜﾝｽ(S/NM)</t>
    </r>
    <r>
      <rPr>
        <sz val="10"/>
        <color indexed="10"/>
        <rFont val="ＭＳ 明朝"/>
        <family val="1"/>
      </rPr>
      <t xml:space="preserve">  </t>
    </r>
    <r>
      <rPr>
        <sz val="10"/>
        <rFont val="ＭＳ 明朝"/>
        <family val="1"/>
      </rPr>
      <t>D :ﾚｰｽ距離(NM)</t>
    </r>
  </si>
  <si>
    <r>
      <rPr>
        <sz val="12"/>
        <rFont val="ＭＳ 明朝"/>
        <family val="1"/>
      </rPr>
      <t xml:space="preserve"> 得点=20(N＋1‐J)/N</t>
    </r>
    <r>
      <rPr>
        <sz val="11"/>
        <rFont val="ＭＳ 明朝"/>
        <family val="1"/>
      </rPr>
      <t xml:space="preserve">
</t>
    </r>
    <r>
      <rPr>
        <sz val="10"/>
        <rFont val="ＭＳ 明朝"/>
        <family val="1"/>
      </rPr>
      <t xml:space="preserve"> N:参加艇数　 J:順位　
 DコースおよびＦコースは上記の1.5倍,DNS,DNF等は1点,DSQは0点</t>
    </r>
    <r>
      <rPr>
        <sz val="11"/>
        <rFont val="ＭＳ 明朝"/>
        <family val="1"/>
      </rPr>
      <t xml:space="preserve">
 </t>
    </r>
    <r>
      <rPr>
        <sz val="12"/>
        <rFont val="ＭＳ 明朝"/>
        <family val="1"/>
      </rPr>
      <t xml:space="preserve">初島レースの得点
      =30(N-J)/(N-1)+10
 </t>
    </r>
    <r>
      <rPr>
        <sz val="10"/>
        <rFont val="ＭＳ 明朝"/>
        <family val="1"/>
      </rPr>
      <t>月例の2倍,最下位艇10点,DNF5点</t>
    </r>
  </si>
  <si>
    <t>熱海</t>
  </si>
  <si>
    <t>レース名</t>
  </si>
  <si>
    <t>小網代フリートレース</t>
  </si>
  <si>
    <t>熱海ランデブーレース</t>
  </si>
  <si>
    <t>ＴＡ</t>
  </si>
  <si>
    <t>ＴＡ</t>
  </si>
  <si>
    <t>Ⅰ</t>
  </si>
  <si>
    <t>Ⅱ</t>
  </si>
  <si>
    <t>Ⅲ</t>
  </si>
  <si>
    <t>記  事</t>
  </si>
  <si>
    <t>艇速</t>
  </si>
  <si>
    <t>時刻</t>
  </si>
  <si>
    <t>コース・距離</t>
  </si>
  <si>
    <t>Ｅ</t>
  </si>
  <si>
    <t>距離(NM)</t>
  </si>
  <si>
    <t>得点（参照用）</t>
  </si>
  <si>
    <t>得点</t>
  </si>
  <si>
    <t>MAX=20</t>
  </si>
  <si>
    <t>MAX=30</t>
  </si>
  <si>
    <t>MAX=40</t>
  </si>
  <si>
    <t>MAX=40</t>
  </si>
  <si>
    <t>MAX=20</t>
  </si>
  <si>
    <t>開催日</t>
  </si>
  <si>
    <t>距離</t>
  </si>
  <si>
    <t>Ｄ短縮</t>
  </si>
  <si>
    <t xml:space="preserve"> (確定) </t>
  </si>
  <si>
    <t>コース</t>
  </si>
  <si>
    <t/>
  </si>
  <si>
    <t>SAIL　No.</t>
  </si>
  <si>
    <t>艇　名</t>
  </si>
  <si>
    <t>得点計</t>
  </si>
  <si>
    <t>皆勤賞</t>
  </si>
  <si>
    <t>参加賞</t>
  </si>
  <si>
    <t>E</t>
  </si>
  <si>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</si>
  <si>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</si>
  <si>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</si>
  <si>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</si>
  <si>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</si>
  <si>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</si>
  <si>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</si>
  <si>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</si>
  <si>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</si>
  <si>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</si>
  <si>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</si>
  <si>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</si>
  <si>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</si>
  <si>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</si>
  <si>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</si>
  <si>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</si>
  <si>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</si>
  <si>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</si>
  <si>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</si>
  <si>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</si>
  <si>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</si>
  <si>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</si>
  <si>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</si>
  <si>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</si>
  <si>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</si>
  <si>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</si>
  <si>
    <t>レース委員会　野村政司</t>
  </si>
  <si>
    <t>　優 勝 盾　</t>
  </si>
  <si>
    <t>1</t>
  </si>
  <si>
    <t>5</t>
  </si>
  <si>
    <t>11</t>
  </si>
  <si>
    <t>12</t>
  </si>
  <si>
    <t>20</t>
  </si>
  <si>
    <t>Cはコミッティ担当、Bはコミッティボート提供。</t>
  </si>
  <si>
    <t xml:space="preserve">　皆 勤 賞    </t>
  </si>
  <si>
    <t xml:space="preserve">　参 加 賞  </t>
  </si>
  <si>
    <t>小網代フリートレース　コミッティポイント</t>
  </si>
  <si>
    <t>B</t>
  </si>
  <si>
    <t>担当者名</t>
  </si>
  <si>
    <t>合同</t>
  </si>
  <si>
    <t>敬称略</t>
  </si>
  <si>
    <t>本部艇</t>
  </si>
  <si>
    <t>Kマーク担当</t>
  </si>
  <si>
    <t>26</t>
  </si>
  <si>
    <t>27</t>
  </si>
  <si>
    <t>28</t>
  </si>
  <si>
    <t>29</t>
  </si>
  <si>
    <t>30</t>
  </si>
  <si>
    <t>KFR開催</t>
  </si>
  <si>
    <t>日程</t>
  </si>
  <si>
    <t>Aマーク担当</t>
  </si>
  <si>
    <t>スタート</t>
  </si>
  <si>
    <t>KまたはB</t>
  </si>
  <si>
    <t>ケロニア</t>
  </si>
  <si>
    <t>初島レース</t>
  </si>
  <si>
    <t>ﾈﾌﾟﾁｭｰﾝXⅡ</t>
  </si>
  <si>
    <t>ﾌｪﾆｯｸｽ</t>
  </si>
  <si>
    <t>注２）</t>
  </si>
  <si>
    <t>熱海ランデブーレース　</t>
  </si>
  <si>
    <t>Ｂ</t>
  </si>
  <si>
    <t>熱海Ｒ
順位</t>
  </si>
  <si>
    <t>SYC合同</t>
  </si>
  <si>
    <t>Ｄ</t>
  </si>
  <si>
    <t>K</t>
  </si>
  <si>
    <t>ナジャ</t>
  </si>
  <si>
    <t>テティス</t>
  </si>
  <si>
    <t>ｱﾚｷｻﾝﾄﾞﾗ</t>
  </si>
  <si>
    <t>ｸﾞﾗﾝｱﾙﾏｼﾞﾛ</t>
  </si>
  <si>
    <t>HAURAKI</t>
  </si>
  <si>
    <t>Bitter End</t>
  </si>
  <si>
    <t>HAYATE</t>
  </si>
  <si>
    <t>BASIC</t>
  </si>
  <si>
    <t>桜工</t>
  </si>
  <si>
    <t>ﾌﾞﾙｰﾘﾎﾞﾝ</t>
  </si>
  <si>
    <t>SPIRIT OF TOKYO</t>
  </si>
  <si>
    <t>INDICUM</t>
  </si>
  <si>
    <t>トーネイド</t>
  </si>
  <si>
    <t>ランカ</t>
  </si>
  <si>
    <t>ABI</t>
  </si>
  <si>
    <t>ネオパトス</t>
  </si>
  <si>
    <t>ながつろ</t>
  </si>
  <si>
    <t>じゃがたら</t>
  </si>
  <si>
    <t>たかとり</t>
  </si>
  <si>
    <t>ボイジャー</t>
  </si>
  <si>
    <t>2015年4月26日</t>
  </si>
  <si>
    <t>Ⅱ</t>
  </si>
  <si>
    <t>マーク回航時刻</t>
  </si>
  <si>
    <t>くろしお</t>
  </si>
  <si>
    <t>　</t>
  </si>
  <si>
    <t>Ⅰ</t>
  </si>
  <si>
    <t>旧No</t>
  </si>
  <si>
    <t>新No</t>
  </si>
  <si>
    <t>上期</t>
  </si>
  <si>
    <t>後期</t>
  </si>
  <si>
    <t>得点計</t>
  </si>
  <si>
    <t>年間得点計</t>
  </si>
  <si>
    <t>小網代フリートレース年間成績（暫定）</t>
  </si>
  <si>
    <t>2016年</t>
  </si>
  <si>
    <t>＃486</t>
  </si>
  <si>
    <t>＃487</t>
  </si>
  <si>
    <t>＃488</t>
  </si>
  <si>
    <t>＃489</t>
  </si>
  <si>
    <t>＃490</t>
  </si>
  <si>
    <t>＃491</t>
  </si>
  <si>
    <t>＃492</t>
  </si>
  <si>
    <t>＃493</t>
  </si>
  <si>
    <t>＃494</t>
  </si>
  <si>
    <t>＃495</t>
  </si>
  <si>
    <t>＃496</t>
  </si>
  <si>
    <t>＃497</t>
  </si>
  <si>
    <t>＃498</t>
  </si>
  <si>
    <t>Ｃ</t>
  </si>
  <si>
    <t>2016帆走指示書より</t>
  </si>
  <si>
    <t>Ｋ</t>
  </si>
  <si>
    <t>2016年KFRコミッティー担当一覧</t>
  </si>
  <si>
    <t>2015年　12月22日</t>
  </si>
  <si>
    <t>小網代ヨットクラブ レース委員会</t>
  </si>
  <si>
    <t>実施日</t>
  </si>
  <si>
    <t>本部艇</t>
  </si>
  <si>
    <t>マーク担当</t>
  </si>
  <si>
    <t>マークNo</t>
  </si>
  <si>
    <t>1月</t>
  </si>
  <si>
    <t>17日</t>
  </si>
  <si>
    <t>波勝</t>
  </si>
  <si>
    <t>かまくら</t>
  </si>
  <si>
    <t>K</t>
  </si>
  <si>
    <t>2月</t>
  </si>
  <si>
    <t>21日</t>
  </si>
  <si>
    <t>B</t>
  </si>
  <si>
    <t>はやとり</t>
  </si>
  <si>
    <t>アルファ</t>
  </si>
  <si>
    <t>K</t>
  </si>
  <si>
    <t>3月</t>
  </si>
  <si>
    <t>20日</t>
  </si>
  <si>
    <t>DまたはE</t>
  </si>
  <si>
    <t>4月</t>
  </si>
  <si>
    <t>E</t>
  </si>
  <si>
    <t>5月</t>
  </si>
  <si>
    <t>14-15日</t>
  </si>
  <si>
    <t>初島</t>
  </si>
  <si>
    <t>ふるたか</t>
  </si>
  <si>
    <t>6月</t>
  </si>
  <si>
    <t>19日</t>
  </si>
  <si>
    <t>E</t>
  </si>
  <si>
    <t>アイデアル</t>
  </si>
  <si>
    <t>7月</t>
  </si>
  <si>
    <t>E又は合同レース</t>
  </si>
  <si>
    <t>ネプチューンⅣ</t>
  </si>
  <si>
    <t>8月</t>
  </si>
  <si>
    <t>DまたはE</t>
  </si>
  <si>
    <t>衣笠</t>
  </si>
  <si>
    <t>9月</t>
  </si>
  <si>
    <t>4日</t>
  </si>
  <si>
    <t>熱海ランデブーレース</t>
  </si>
  <si>
    <t>別途当該艇で調整</t>
  </si>
  <si>
    <t>18日</t>
  </si>
  <si>
    <t>FまたはA</t>
  </si>
  <si>
    <t>飛車角</t>
  </si>
  <si>
    <t>テティス</t>
  </si>
  <si>
    <t>A</t>
  </si>
  <si>
    <t>10月</t>
  </si>
  <si>
    <t>16日</t>
  </si>
  <si>
    <t>E</t>
  </si>
  <si>
    <t>ナジャ</t>
  </si>
  <si>
    <t>11月</t>
  </si>
  <si>
    <t>CまたはB</t>
  </si>
  <si>
    <t>くろしお</t>
  </si>
  <si>
    <t>ケロニア</t>
  </si>
  <si>
    <t>K</t>
  </si>
  <si>
    <t>12月</t>
  </si>
  <si>
    <t>サーモン4</t>
  </si>
  <si>
    <t>※12月総務委員会でのコミッティ抽選結果</t>
  </si>
  <si>
    <t>【コミッティ抽選要領】</t>
  </si>
  <si>
    <t>KYC所属艇が中心となり担当することとする。</t>
  </si>
  <si>
    <t>本部艇担当は、2015年KFRのマーク担当艇を除く年間成績上位艇より抽選。</t>
  </si>
  <si>
    <t>マーク担当は、2015年KFR年間成績上位艇の中で大型艇中心に抽選。</t>
  </si>
  <si>
    <t>本部艇担当は、原則3名で対応頂くものとする。</t>
  </si>
  <si>
    <t>本部艇は5月を除き原則田中丸に依頼するが天候その他の理由で自艇を提供頂く場合がある。</t>
  </si>
  <si>
    <t>初島レースは、原則コミッティーボートとして自艇を提供頂くものとする。</t>
  </si>
  <si>
    <t>AマークボートはSpirit Of Tokyoを予定、マーク担当艇メンバー3名乗船頂くものとする。</t>
  </si>
  <si>
    <t>担当月に都合で担当できない場合、担当月の変更を含め、調整する場合がある。</t>
  </si>
  <si>
    <t>熱海ランデブーレースは参加艇の中から前年度上位艇が担当いただく。（別途調整）</t>
  </si>
  <si>
    <t>備考1</t>
  </si>
  <si>
    <t>初島レースの本部艇担当を自艇で行った場合に限り、当該レースの平均点を付与する。</t>
  </si>
  <si>
    <t>備考2</t>
  </si>
  <si>
    <t>本部担当、マーク担当がレース当日に参加しない場合、担当艇に1点を付与する。</t>
  </si>
  <si>
    <t>備考3</t>
  </si>
  <si>
    <t>悪天候で本部艇担当を自艇で行った場合に限り、当該レースの平均点を付与する。</t>
  </si>
  <si>
    <t>＃486</t>
  </si>
  <si>
    <t>フェニックス</t>
  </si>
  <si>
    <t>ネプチューンⅣ</t>
  </si>
  <si>
    <t>サーモン4</t>
  </si>
  <si>
    <t>風速：xxxノット
風向：　
天気：
◇ｺﾐｯﾃｨ：</t>
  </si>
  <si>
    <t>風向：　</t>
  </si>
  <si>
    <t>天気：</t>
  </si>
  <si>
    <t>次回
2015年８月16日 
◇ｺﾐｯﾃｨ：くろしお</t>
  </si>
  <si>
    <t>ｺﾐｯﾃｨ：</t>
  </si>
  <si>
    <t>ｺﾐｯﾃｨ：</t>
  </si>
  <si>
    <t>2月</t>
  </si>
  <si>
    <t>3月</t>
  </si>
  <si>
    <t>4月</t>
  </si>
  <si>
    <t>5月</t>
  </si>
  <si>
    <t>6月</t>
  </si>
  <si>
    <t>7月</t>
  </si>
  <si>
    <t>8月</t>
  </si>
  <si>
    <t>9月</t>
  </si>
  <si>
    <t>10月</t>
  </si>
  <si>
    <t>11月</t>
  </si>
  <si>
    <t>12月</t>
  </si>
  <si>
    <t>2016年度 前期</t>
  </si>
  <si>
    <t>2016年間総合</t>
  </si>
  <si>
    <t>ｺｰｽ：</t>
  </si>
  <si>
    <t>吉岡</t>
  </si>
  <si>
    <t>富士本</t>
  </si>
  <si>
    <t>波勝</t>
  </si>
  <si>
    <t>コミッティ</t>
  </si>
  <si>
    <t>10～18ノット</t>
  </si>
  <si>
    <t>北～北東</t>
  </si>
  <si>
    <t>曇り</t>
  </si>
  <si>
    <t>前田</t>
  </si>
  <si>
    <t>【レースコメント】
皆さま　本年もよろしくお願いします。今年、最初のレース　多少緊張しながらスタート海面に行くとNE15ノット以上RANKA向きの風が吹いている。スタートは本部艇よりを狙っていき風上艇を牽制しながらタイミングを計りスタート。リコールがあり気にしながら赤白ブイをめざすがすぐ風上にいた艇が戻っていくのでどうするか悩む。各艇が戻ったようでもリコールが解消されないので戻ることを決めて反転。スタートラインに向けて30秒ほどでリコール旗が降下、すぐに反転しこの間に先行した艇を追い始める。赤白ブイを回航、Kマークをめざす。このレグ前半で元の順位に復帰、クローズホールドからクローズリーチで帆走。Kマークを回航しスピンを準備したが、風が前に回りだしたので中止してそのまま走る。赤白ブイまでに先行艇にやや追いつき、後続に追いつかれ、フィニッシュラインへむかう。そのままの順位でフィニッシュ、1時間にも満たないレースでしたが緊張感のある楽しいレースでした。新年会で修正１位と聞き驚きつつも嬉しく思います。本部艇およびレースコミッティの皆様ありがとうございました。＜RANKA　小林＞</t>
  </si>
  <si>
    <t>RET</t>
  </si>
  <si>
    <t>レスキュー</t>
  </si>
  <si>
    <t>レスキュー</t>
  </si>
  <si>
    <t>落水発生</t>
  </si>
  <si>
    <t>2～15kt</t>
  </si>
  <si>
    <t>西～東</t>
  </si>
  <si>
    <t>リコール解消</t>
  </si>
  <si>
    <t>B</t>
  </si>
  <si>
    <t>DまたはE</t>
  </si>
  <si>
    <t>E</t>
  </si>
  <si>
    <t>波勝</t>
  </si>
  <si>
    <t>未央</t>
  </si>
  <si>
    <t xml:space="preserve">【レースコメント】  スタート前は北西20Kt程度の強風だったのでメイン１Ｐリーフ、No3ジブで準備したが、次第に風が落ちてきた。スタート10分前に急ぎリーフ解除、No.1ジブに変更した。赤白ブイはポートタックの上りいっぱいだったので、アウター側からスタート。風がますます落ち艇速0.2kt程度になった。本部艇にはコース短縮旗が掲揚された。アルファのセーフリーワードを避けるためタックして南海面に向かった。結果的にこれが良く、南寄りにいたランカ、ケロニアがジリジリと先行、赤白ブイを回航する頃にはいち早く北東の風を受けて後続艇を引き離した。Kマークにはランカが先着したが回航方向を誤り回り直したので、ケロニアが先にKマークを回航し、赤白ブイに向かった。スピンアップした艇はブローチングで苦労していた。スタートから赤白ブイまでが微風で、それ以降は北東15Kt前後の風が安定していたので微風下での順位がすべてのレースだった。久しぶりのファーストホームで喜んでおります。強風下Kマーク打ちに行かれたアルファ、コミッティーの皆様、お世話になりました。　＜KELONIA 三好 明男＞
</t>
  </si>
  <si>
    <t>RGE</t>
  </si>
  <si>
    <t>【レース委員会より】・風が弱く、コース短縮を実施　B →　 Kコース相当（6マイル）
 ・フリードリスで落水があり、全員無事救助された、レスキュー参加は波勝、フェニックス。
 ・波勝・フェニックスにはレース委員会からの救済要求がありプロテスト委員会にて審議された。結果前期にこの2艇に9点が加点されることになった。</t>
  </si>
  <si>
    <t>石井</t>
  </si>
  <si>
    <t>月寄</t>
  </si>
  <si>
    <t>弓削</t>
  </si>
  <si>
    <t>高橋</t>
  </si>
  <si>
    <t>中谷</t>
  </si>
  <si>
    <t>長沼</t>
  </si>
  <si>
    <t>フェニックス</t>
  </si>
  <si>
    <t>フェニックス</t>
  </si>
  <si>
    <t>コミッティ</t>
  </si>
  <si>
    <t>4～20</t>
  </si>
  <si>
    <t>北東～東</t>
  </si>
  <si>
    <t>曇り/雨</t>
  </si>
  <si>
    <t>はやとり</t>
  </si>
  <si>
    <t>野村政司</t>
  </si>
  <si>
    <t>長谷川</t>
  </si>
  <si>
    <t>平賀</t>
  </si>
  <si>
    <t>飯島</t>
  </si>
  <si>
    <t>さがみ</t>
  </si>
  <si>
    <t>かまくら</t>
  </si>
  <si>
    <t>　山本　</t>
  </si>
  <si>
    <t>【レースコメント】
風は北20ktの順風。スタート前は準備万端で気合を入れて！と考えていたがスタート時刻を30分間違えているのを5分前に灯浮標で気づき・・・20秒前で何とかスタートラインの内側に入り込みやっとのことで下6番目でスタート。灯浮標を8番手くらいで回航しスピンアップ。そのまま沖寄りから手前１Mくらいで南西ブイにアプローチ。アルファ・テテｲス・かまくら・ケロニアに続き5番手回航。東への振れの兆候があったためそのまま岸寄りへ伸ばし城ヶ島手前でタックし灯浮標に向かうが逆にやや北に振れ戻し後続のはやとりに抜かれて2回目の灯浮標は6番回航。ようやく風が完全に東に振れたので即ジャイブでスピンアップ。スピントラブル中のケロニアを抜き、先行していたはやとりを南西ブイ手前でキャッチアップし2回目回航は5番手。右振れで一本コース化のため即タック。最後灯浮標手前で6ktくらいまで風が落ちたが、意外に先行艇も微風に手間取っていたようで着順は4位、修正で久々の1位となりました。コミッティーの皆さま長丁場の運営ありがとうございました。
NEPTUNEⅩⅡ小川</t>
  </si>
  <si>
    <t>【レースコメント】
8時の時点で南西ブイ14.8ｍと強風、またこの後の時間帯でさらに低気圧接近の予報と、地元漁協船舶の動向、シーボニアの動向などの状況を鑑みてレースを中止すべきと判断しノーレースとしました。コミッティはじめとした関係各位のみなさまには、準備および情報集約にご協力いただきありがとうございました。
（記　レース委員会　野村）</t>
  </si>
  <si>
    <t>未央</t>
  </si>
  <si>
    <t>清水</t>
  </si>
  <si>
    <t>小松</t>
  </si>
  <si>
    <t>星野</t>
  </si>
  <si>
    <t>松井</t>
  </si>
  <si>
    <t>フェニックス</t>
  </si>
  <si>
    <t>未央</t>
  </si>
  <si>
    <t>D</t>
  </si>
  <si>
    <t>ノーレース</t>
  </si>
  <si>
    <t>Ⅲ</t>
  </si>
  <si>
    <t>SPARROW</t>
  </si>
  <si>
    <t>オープン参加</t>
  </si>
  <si>
    <t>晴れ</t>
  </si>
  <si>
    <t>北東</t>
  </si>
  <si>
    <t>11kt-25kt</t>
  </si>
  <si>
    <t>自艇コミッティ</t>
  </si>
  <si>
    <t>小田原</t>
  </si>
  <si>
    <t>山本</t>
  </si>
  <si>
    <t>法田</t>
  </si>
  <si>
    <t>寺江</t>
  </si>
  <si>
    <t>野崎</t>
  </si>
  <si>
    <t>古賀</t>
  </si>
  <si>
    <t>増田</t>
  </si>
  <si>
    <t>石原</t>
  </si>
  <si>
    <t>ケロニア</t>
  </si>
  <si>
    <t>ふるたか</t>
  </si>
  <si>
    <t>ふるたか</t>
  </si>
  <si>
    <t>【レースコメント】北東７－９ｍが安定して吹く予報の中、オープン参加艇を含めて10艇が月明りの中スタートし、初島までの豪快なスピンランで3時前後に初島を回航する高速レースの展開となった。後半も風は落ちず、気の抜けない丁寧な登りが求められるレースであった。かまくらは、強力な助っ人を含め9名体制で臨み、先日亡くなった共同オーナーの遺影に守られ、先行するアルファに初島アプローチで追いつき一時はフリートをリードした。残り数マイルの時点で抜き返され3分ほどの差で2位フィニッシュした。3位になったネプチューンとの差が気になったが修正で3世になって初めての初島レースに優勝することができた。全艇無事フィニッシュしたが、小型艇が修正上位に入る頑張りを見せていた。運営コミッティーの皆様、早い展開で大変だったと思います。ご苦労様でした。かまくら３尾山記
【レース委員会より】参加艇について：オープン参加のSPARROW殿加え合計10艇参加です。</t>
  </si>
  <si>
    <t>南</t>
  </si>
  <si>
    <t>晴れ～曇り</t>
  </si>
  <si>
    <t>4-15kt</t>
  </si>
  <si>
    <t>2016年6月現在</t>
  </si>
  <si>
    <r>
      <t>距離</t>
    </r>
    <r>
      <rPr>
        <b/>
        <sz val="11"/>
        <rFont val="ＭＳ 明朝"/>
        <family val="1"/>
      </rPr>
      <t>(NM)</t>
    </r>
  </si>
  <si>
    <t>○</t>
  </si>
  <si>
    <t>○</t>
  </si>
  <si>
    <t>○</t>
  </si>
  <si>
    <t>○</t>
  </si>
  <si>
    <t>2016/6/16現在</t>
  </si>
  <si>
    <t>アイデアル</t>
  </si>
  <si>
    <t>梅林</t>
  </si>
  <si>
    <t>小池</t>
  </si>
  <si>
    <t>斉藤</t>
  </si>
  <si>
    <t>○</t>
  </si>
  <si>
    <t>コミッティ</t>
  </si>
  <si>
    <t>Eまたは合同レース</t>
  </si>
  <si>
    <t>DまたはE</t>
  </si>
  <si>
    <t>FまたはA</t>
  </si>
  <si>
    <t>CまたはB</t>
  </si>
  <si>
    <t>　ステンドグラス楯</t>
  </si>
  <si>
    <t xml:space="preserve">　各月トップ賞  </t>
  </si>
  <si>
    <t>（半期全回出場した艇）</t>
  </si>
  <si>
    <t>（半期2回以上出場した艇）</t>
  </si>
  <si>
    <t xml:space="preserve">【レースコメント】
ぶれのある南の風、うねりが少ない海面の中で全艇スタート。アウターマーク側でフレッシュな風をつかんだネプチューン、テティスが一歩先行し赤白ブイにつく。ここですぐに南下する船団、そのまま沖出しした船団の2手に分かれた。はやとりは赤白ブイをすぐに回らずに定置網を躱す位置を狙ってタックし南下を始めたが、風が弱くなり潮のために定置網を躱せず、手前でタックしそのまま沖出しした。はやとりのまわりには、かまくら、テティス、ネプチューン、サーモンフォーが見える、しばらくすると後続についていたアルファが抜いていった。艇速を保持しあまり上らせすぎず走らせたところ丁度前に南西ブイが現れる。南西ブイは、アルファ、はやとり、テティスの順で回航しスピンをあげ赤白ブイをめざす、ここから弱かった風があがり始めた。はやとりではスピンランで艇速を意識し上らせ気味に走らせたが赤白ブイのすこし手前で、テティス、かまくらに抜かれた。赤白ブイの回航は、アルファ、テティス、かまくら、はやとりの順で回り、そのままの順位でフィニッシュとなった。
久々に順調なレース運びにいつも以上に美味しいビールを堪能することができました。　記　はやとり　野村政司
</t>
  </si>
  <si>
    <t>小網代フリートレース成績（確定）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</si>
</sst>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0_ "/>
    <numFmt numFmtId="186" formatCode="0.000"/>
    <numFmt numFmtId="187" formatCode="0.000000000000_ "/>
    <numFmt numFmtId="188" formatCode="0.00_ ;[Red]\-0.00\ "/>
    <numFmt numFmtId="189" formatCode="0.000_ ;[Red]\-0.000\ "/>
    <numFmt numFmtId="190" formatCode="0.0000_ ;[Red]\-0.0000\ "/>
    <numFmt numFmtId="191" formatCode="yyyy&quot;年&quot;m&quot;月&quot;d&quot;日&quot;;@"/>
  </numFmts>
  <fonts count="92">
    <font>
      <sz val="11"/>
      <color theme="1"/>
      <name val="Calibri"/>
      <family val="3"/>
    </font>
    <font>
      <sz val="11"/>
      <color indexed="8"/>
      <name val="ＭＳ Ｐゴシック"/>
      <family val="3"/>
    </font>
    <font>
      <sz val="13"/>
      <name val="ＭＳ 明朝"/>
      <family val="1"/>
    </font>
    <font>
      <sz val="6"/>
      <name val="ＭＳ Ｐゴシック"/>
      <family val="3"/>
    </font>
    <font>
      <b/>
      <sz val="14"/>
      <name val="ＭＳ 明朝"/>
      <family val="1"/>
    </font>
    <font>
      <b/>
      <sz val="18"/>
      <name val="ＭＳ 明朝"/>
      <family val="1"/>
    </font>
    <font>
      <sz val="12"/>
      <name val="ＭＳ 明朝"/>
      <family val="1"/>
    </font>
    <font>
      <sz val="10"/>
      <name val="ＭＳ 明朝"/>
      <family val="1"/>
    </font>
    <font>
      <sz val="11"/>
      <name val="ＭＳ 明朝"/>
      <family val="1"/>
    </font>
    <font>
      <sz val="9"/>
      <name val="ＭＳ 明朝"/>
      <family val="1"/>
    </font>
    <font>
      <b/>
      <sz val="16"/>
      <name val="ＭＳ Ｐ明朝"/>
      <family val="1"/>
    </font>
    <font>
      <sz val="12"/>
      <name val="ＭＳ Ｐ明朝"/>
      <family val="1"/>
    </font>
    <font>
      <sz val="10"/>
      <name val="ＭＳ Ｐ明朝"/>
      <family val="1"/>
    </font>
    <font>
      <sz val="13"/>
      <name val="ＭＳ Ｐ明朝"/>
      <family val="1"/>
    </font>
    <font>
      <sz val="12"/>
      <color indexed="8"/>
      <name val="ＭＳ Ｐゴシック"/>
      <family val="3"/>
    </font>
    <font>
      <sz val="10"/>
      <color indexed="10"/>
      <name val="ＭＳ 明朝"/>
      <family val="1"/>
    </font>
    <font>
      <b/>
      <sz val="12"/>
      <name val="ＭＳ 明朝"/>
      <family val="1"/>
    </font>
    <font>
      <b/>
      <sz val="10"/>
      <name val="ＭＳ 明朝"/>
      <family val="1"/>
    </font>
    <font>
      <b/>
      <sz val="11"/>
      <name val="ＭＳ 明朝"/>
      <family val="1"/>
    </font>
    <font>
      <b/>
      <sz val="8"/>
      <name val="ＭＳ 明朝"/>
      <family val="1"/>
    </font>
    <font>
      <b/>
      <sz val="13"/>
      <name val="ＭＳ 明朝"/>
      <family val="1"/>
    </font>
    <font>
      <sz val="11"/>
      <name val="ＭＳ Ｐゴシック"/>
      <family val="3"/>
    </font>
    <font>
      <b/>
      <sz val="16"/>
      <name val="ＭＳ 明朝"/>
      <family val="1"/>
    </font>
    <font>
      <sz val="12"/>
      <color indexed="10"/>
      <name val="ＭＳ 明朝"/>
      <family val="1"/>
    </font>
    <font>
      <sz val="11"/>
      <color indexed="8"/>
      <name val="ＭＳ 明朝"/>
      <family val="1"/>
    </font>
    <font>
      <sz val="16"/>
      <name val="ＭＳ 明朝"/>
      <family val="1"/>
    </font>
    <font>
      <b/>
      <sz val="13"/>
      <color indexed="10"/>
      <name val="ＭＳ 明朝"/>
      <family val="1"/>
    </font>
    <font>
      <sz val="12"/>
      <name val="ＭＳ Ｐゴシック"/>
      <family val="3"/>
    </font>
    <font>
      <sz val="10"/>
      <name val="Meiryo UI"/>
      <family val="3"/>
    </font>
    <font>
      <b/>
      <sz val="11"/>
      <color indexed="8"/>
      <name val="Meiryo UI"/>
      <family val="3"/>
    </font>
    <font>
      <sz val="11"/>
      <color indexed="8"/>
      <name val="Meiryo UI"/>
      <family val="3"/>
    </font>
    <font>
      <sz val="10.5"/>
      <name val="Meiryo UI"/>
      <family val="3"/>
    </font>
    <font>
      <sz val="10.5"/>
      <name val="ＭＳ 明朝"/>
      <family val="1"/>
    </font>
    <font>
      <sz val="11"/>
      <name val="Meiryo UI"/>
      <family val="3"/>
    </font>
    <font>
      <sz val="12"/>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明朝"/>
      <family val="1"/>
    </font>
    <font>
      <sz val="14"/>
      <color indexed="8"/>
      <name val="ＭＳ Ｐゴシック"/>
      <family val="3"/>
    </font>
    <font>
      <b/>
      <sz val="14"/>
      <color indexed="8"/>
      <name val="ＭＳ Ｐ明朝"/>
      <family val="1"/>
    </font>
    <font>
      <b/>
      <sz val="14"/>
      <color indexed="8"/>
      <name val="ＭＳ Ｐゴシック"/>
      <family val="3"/>
    </font>
    <font>
      <b/>
      <sz val="12"/>
      <color indexed="8"/>
      <name val="ＭＳ Ｐゴシック"/>
      <family val="3"/>
    </font>
    <font>
      <sz val="8"/>
      <color indexed="10"/>
      <name val="ＭＳ Ｐゴシック"/>
      <family val="3"/>
    </font>
    <font>
      <sz val="12"/>
      <color indexed="30"/>
      <name val="ＭＳ 明朝"/>
      <family val="1"/>
    </font>
    <font>
      <sz val="12"/>
      <color indexed="8"/>
      <name val="ＭＳ 明朝"/>
      <family val="1"/>
    </font>
    <font>
      <sz val="12"/>
      <color indexed="40"/>
      <name val="ＭＳ 明朝"/>
      <family val="1"/>
    </font>
    <font>
      <sz val="11"/>
      <color indexed="30"/>
      <name val="Meiryo UI"/>
      <family val="3"/>
    </font>
    <font>
      <b/>
      <sz val="20"/>
      <color indexed="8"/>
      <name val="ＭＳ Ｐゴシック"/>
      <family val="3"/>
    </font>
    <font>
      <sz val="11"/>
      <color indexed="3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明朝"/>
      <family val="1"/>
    </font>
    <font>
      <sz val="10"/>
      <color rgb="FFFF0000"/>
      <name val="ＭＳ 明朝"/>
      <family val="1"/>
    </font>
    <font>
      <sz val="14"/>
      <color theme="1"/>
      <name val="Calibri"/>
      <family val="3"/>
    </font>
    <font>
      <b/>
      <sz val="14"/>
      <color theme="1"/>
      <name val="ＭＳ Ｐ明朝"/>
      <family val="1"/>
    </font>
    <font>
      <b/>
      <sz val="14"/>
      <color theme="1"/>
      <name val="Calibri"/>
      <family val="3"/>
    </font>
    <font>
      <b/>
      <sz val="12"/>
      <color theme="1"/>
      <name val="Calibri"/>
      <family val="3"/>
    </font>
    <font>
      <sz val="8"/>
      <color rgb="FFFF0000"/>
      <name val="Calibri"/>
      <family val="3"/>
    </font>
    <font>
      <sz val="12"/>
      <color rgb="FF0070C0"/>
      <name val="ＭＳ 明朝"/>
      <family val="1"/>
    </font>
    <font>
      <sz val="12"/>
      <color theme="1"/>
      <name val="ＭＳ 明朝"/>
      <family val="1"/>
    </font>
    <font>
      <sz val="12"/>
      <color rgb="FF00B0F0"/>
      <name val="ＭＳ 明朝"/>
      <family val="1"/>
    </font>
    <font>
      <sz val="11"/>
      <name val="Calibri"/>
      <family val="3"/>
    </font>
    <font>
      <sz val="11"/>
      <color theme="1"/>
      <name val="Meiryo UI"/>
      <family val="3"/>
    </font>
    <font>
      <sz val="11"/>
      <color rgb="FF0070C0"/>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medium"/>
      <right style="thin"/>
      <top style="thin"/>
      <bottom style="medium"/>
    </border>
    <border>
      <left style="medium"/>
      <right style="thin"/>
      <top/>
      <bottom/>
    </border>
    <border>
      <left style="thin"/>
      <right style="thin"/>
      <top/>
      <bottom/>
    </border>
    <border>
      <left style="thin"/>
      <right/>
      <top/>
      <bottom/>
    </border>
    <border>
      <left/>
      <right style="medium"/>
      <top/>
      <bottom/>
    </border>
    <border>
      <left/>
      <right style="medium"/>
      <top style="thin"/>
      <bottom style="hair"/>
    </border>
    <border>
      <left/>
      <right style="medium"/>
      <top style="hair"/>
      <bottom style="hair"/>
    </border>
    <border>
      <left/>
      <right style="medium"/>
      <top style="hair"/>
      <bottom style="thin"/>
    </border>
    <border>
      <left style="thin"/>
      <right style="thin"/>
      <top/>
      <bottom style="thin"/>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right/>
      <top/>
      <bottom style="medium"/>
    </border>
    <border>
      <left/>
      <right style="medium"/>
      <top style="thin"/>
      <bottom style="mediu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hair"/>
    </border>
    <border>
      <left/>
      <right style="medium"/>
      <top/>
      <bottom style="hair"/>
    </border>
    <border>
      <left/>
      <right style="medium"/>
      <top style="medium"/>
      <bottom style="thin"/>
    </border>
    <border>
      <left style="thin"/>
      <right style="medium"/>
      <top style="medium"/>
      <bottom/>
    </border>
    <border>
      <left style="medium"/>
      <right style="thin"/>
      <top/>
      <bottom style="thin"/>
    </border>
    <border>
      <left style="thin"/>
      <right style="medium"/>
      <top/>
      <bottom style="thin"/>
    </border>
    <border>
      <left style="thin"/>
      <right style="medium"/>
      <top style="thin"/>
      <bottom style="hair"/>
    </border>
    <border>
      <left style="thin"/>
      <right style="medium"/>
      <top style="medium"/>
      <bottom style="thin"/>
    </border>
    <border>
      <left/>
      <right/>
      <top style="thin"/>
      <bottom style="hair"/>
    </border>
    <border>
      <left/>
      <right/>
      <top style="hair"/>
      <bottom style="hair"/>
    </border>
    <border>
      <left/>
      <right/>
      <top style="hair"/>
      <bottom style="thin"/>
    </border>
    <border>
      <left/>
      <right/>
      <top/>
      <bottom style="hair"/>
    </border>
    <border>
      <left style="medium"/>
      <right style="medium"/>
      <top/>
      <bottom style="thin"/>
    </border>
    <border>
      <left style="thin"/>
      <right style="thin"/>
      <top style="hair"/>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hair"/>
    </border>
    <border>
      <left/>
      <right style="thin"/>
      <top style="thin"/>
      <bottom style="hair"/>
    </border>
    <border>
      <left style="thin"/>
      <right/>
      <top style="thin"/>
      <bottom style="thin"/>
    </border>
    <border>
      <left style="hair"/>
      <right style="thin"/>
      <top style="thin"/>
      <bottom style="thin"/>
    </border>
    <border>
      <left style="thin"/>
      <right/>
      <top/>
      <bottom style="hair"/>
    </border>
    <border>
      <left style="hair"/>
      <right style="thin"/>
      <top/>
      <bottom style="hair"/>
    </border>
    <border>
      <left style="hair"/>
      <right style="thin"/>
      <top style="thin"/>
      <bottom style="hair"/>
    </border>
    <border>
      <left style="thin"/>
      <right/>
      <top style="hair"/>
      <bottom style="hair"/>
    </border>
    <border>
      <left style="hair"/>
      <right style="thin"/>
      <top style="hair"/>
      <bottom style="hair"/>
    </border>
    <border>
      <left/>
      <right style="hair"/>
      <top style="hair"/>
      <bottom style="hair"/>
    </border>
    <border>
      <left style="thin"/>
      <right/>
      <top style="hair"/>
      <bottom/>
    </border>
    <border>
      <left style="hair"/>
      <right style="thin"/>
      <top style="hair"/>
      <bottom/>
    </border>
    <border>
      <left/>
      <right style="hair"/>
      <top style="hair"/>
      <bottom/>
    </border>
    <border>
      <left style="thin"/>
      <right/>
      <top style="hair"/>
      <bottom style="thin"/>
    </border>
    <border>
      <left style="hair"/>
      <right style="thin"/>
      <top style="hair"/>
      <bottom style="thin"/>
    </border>
    <border>
      <left/>
      <right style="hair"/>
      <top style="hair"/>
      <bottom style="thin"/>
    </border>
    <border>
      <left style="thin"/>
      <right style="thin"/>
      <top style="thin"/>
      <bottom/>
    </border>
    <border>
      <left style="double"/>
      <right style="medium"/>
      <top/>
      <bottom style="thin"/>
    </border>
    <border>
      <left style="double"/>
      <right style="medium"/>
      <top style="thin"/>
      <bottom style="hair"/>
    </border>
    <border>
      <left style="double"/>
      <right style="medium"/>
      <top style="hair"/>
      <bottom style="hair"/>
    </border>
    <border>
      <left style="double"/>
      <right style="medium"/>
      <top style="hair"/>
      <bottom style="thin"/>
    </border>
    <border>
      <left style="double"/>
      <right style="medium"/>
      <top/>
      <bottom style="hair"/>
    </border>
    <border>
      <left style="thin"/>
      <right style="thin"/>
      <top/>
      <bottom style="medium"/>
    </border>
    <border>
      <left style="thin"/>
      <right/>
      <top/>
      <bottom style="medium"/>
    </border>
    <border>
      <left style="double"/>
      <right style="medium"/>
      <top/>
      <bottom style="medium"/>
    </border>
    <border>
      <left style="medium"/>
      <right style="thin"/>
      <top style="hair"/>
      <bottom style="double"/>
    </border>
    <border>
      <left style="thin"/>
      <right style="thin"/>
      <top style="hair"/>
      <bottom style="double"/>
    </border>
    <border>
      <left style="thin"/>
      <right/>
      <top style="hair"/>
      <bottom style="double"/>
    </border>
    <border>
      <left style="double"/>
      <right style="medium"/>
      <top style="hair"/>
      <bottom style="double"/>
    </border>
    <border>
      <left style="double"/>
      <right style="medium"/>
      <top style="medium"/>
      <bottom/>
    </border>
    <border>
      <left style="double"/>
      <right style="medium"/>
      <top/>
      <bottom/>
    </border>
    <border>
      <left/>
      <right/>
      <top/>
      <bottom style="thin"/>
    </border>
    <border>
      <left/>
      <right style="thin"/>
      <top style="thin"/>
      <bottom style="thin"/>
    </border>
    <border>
      <left style="thin"/>
      <right/>
      <top style="thin"/>
      <bottom/>
    </border>
    <border>
      <left/>
      <right style="thin"/>
      <top/>
      <bottom/>
    </border>
    <border>
      <left/>
      <right/>
      <top style="thin"/>
      <bottom/>
    </border>
    <border>
      <left/>
      <right style="thin"/>
      <top style="thin"/>
      <bottom/>
    </border>
    <border>
      <left style="thin"/>
      <right/>
      <top style="medium"/>
      <bottom/>
    </border>
    <border>
      <left/>
      <right style="medium"/>
      <top style="medium"/>
      <bottom/>
    </border>
    <border>
      <left style="medium"/>
      <right/>
      <top style="thin"/>
      <bottom/>
    </border>
    <border>
      <left style="medium"/>
      <right/>
      <top/>
      <bottom/>
    </border>
    <border>
      <left style="medium"/>
      <right/>
      <top/>
      <bottom style="thin"/>
    </border>
    <border>
      <left/>
      <right style="thin"/>
      <top/>
      <bottom style="thin"/>
    </border>
    <border>
      <left/>
      <right style="medium"/>
      <top style="thin"/>
      <bottom/>
    </border>
    <border>
      <left/>
      <right style="medium"/>
      <top/>
      <bottom style="medium"/>
    </border>
    <border>
      <left style="medium"/>
      <right/>
      <top/>
      <bottom style="medium"/>
    </border>
    <border>
      <left/>
      <right style="thin"/>
      <top/>
      <bottom style="medium"/>
    </border>
    <border>
      <left style="thin"/>
      <right/>
      <top/>
      <bottom style="thin"/>
    </border>
    <border>
      <left>
        <color indexed="63"/>
      </left>
      <right style="medium"/>
      <top>
        <color indexed="63"/>
      </top>
      <bottom style="thin"/>
    </border>
    <border>
      <left style="thin"/>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21" fillId="0" borderId="0">
      <alignment/>
      <protection/>
    </xf>
    <xf numFmtId="0" fontId="78" fillId="32" borderId="0" applyNumberFormat="0" applyBorder="0" applyAlignment="0" applyProtection="0"/>
  </cellStyleXfs>
  <cellXfs count="512">
    <xf numFmtId="0" fontId="0" fillId="0" borderId="0" xfId="0" applyFont="1" applyAlignment="1">
      <alignment vertical="center"/>
    </xf>
    <xf numFmtId="0" fontId="2" fillId="0" borderId="0" xfId="0" applyFont="1" applyAlignment="1">
      <alignment/>
    </xf>
    <xf numFmtId="55" fontId="2" fillId="0" borderId="0" xfId="0" applyNumberFormat="1" applyFont="1" applyAlignment="1">
      <alignment/>
    </xf>
    <xf numFmtId="55" fontId="4" fillId="0" borderId="0" xfId="0" applyNumberFormat="1" applyFont="1" applyAlignment="1">
      <alignment horizontal="center" vertical="top"/>
    </xf>
    <xf numFmtId="0" fontId="2" fillId="0" borderId="0" xfId="0" applyFont="1" applyBorder="1" applyAlignment="1">
      <alignment/>
    </xf>
    <xf numFmtId="0" fontId="6" fillId="0" borderId="0" xfId="0" applyFont="1" applyAlignment="1">
      <alignment/>
    </xf>
    <xf numFmtId="0" fontId="8" fillId="0" borderId="0" xfId="0" applyFont="1" applyAlignment="1">
      <alignment/>
    </xf>
    <xf numFmtId="176" fontId="6" fillId="0" borderId="10" xfId="0" applyNumberFormat="1" applyFont="1" applyBorder="1" applyAlignment="1">
      <alignment/>
    </xf>
    <xf numFmtId="21" fontId="6" fillId="0" borderId="10" xfId="0" applyNumberFormat="1" applyFont="1" applyFill="1" applyBorder="1" applyAlignment="1">
      <alignment horizontal="center"/>
    </xf>
    <xf numFmtId="176" fontId="6" fillId="0" borderId="11" xfId="0" applyNumberFormat="1" applyFont="1" applyBorder="1" applyAlignment="1">
      <alignment/>
    </xf>
    <xf numFmtId="21" fontId="6" fillId="0" borderId="11" xfId="0" applyNumberFormat="1" applyFont="1" applyFill="1" applyBorder="1" applyAlignment="1">
      <alignment horizontal="center"/>
    </xf>
    <xf numFmtId="176" fontId="6" fillId="0" borderId="12" xfId="0" applyNumberFormat="1" applyFont="1" applyBorder="1" applyAlignment="1">
      <alignment/>
    </xf>
    <xf numFmtId="21" fontId="6" fillId="0" borderId="12" xfId="0" applyNumberFormat="1" applyFont="1" applyFill="1" applyBorder="1" applyAlignment="1">
      <alignment horizontal="center"/>
    </xf>
    <xf numFmtId="21" fontId="6" fillId="0" borderId="13" xfId="0" applyNumberFormat="1" applyFont="1" applyFill="1" applyBorder="1" applyAlignment="1">
      <alignment horizontal="center"/>
    </xf>
    <xf numFmtId="176" fontId="6" fillId="0" borderId="11" xfId="0" applyNumberFormat="1" applyFont="1" applyFill="1" applyBorder="1" applyAlignment="1">
      <alignment/>
    </xf>
    <xf numFmtId="0" fontId="6" fillId="0" borderId="11" xfId="0" applyFont="1" applyFill="1" applyBorder="1" applyAlignment="1">
      <alignment horizontal="center"/>
    </xf>
    <xf numFmtId="176" fontId="6" fillId="0" borderId="12" xfId="0" applyNumberFormat="1" applyFont="1" applyFill="1" applyBorder="1" applyAlignment="1">
      <alignment/>
    </xf>
    <xf numFmtId="0" fontId="6" fillId="0" borderId="12" xfId="0" applyFont="1" applyFill="1" applyBorder="1" applyAlignment="1">
      <alignment horizontal="center"/>
    </xf>
    <xf numFmtId="176" fontId="6" fillId="0" borderId="13" xfId="0" applyNumberFormat="1" applyFont="1" applyFill="1" applyBorder="1" applyAlignment="1">
      <alignment/>
    </xf>
    <xf numFmtId="0" fontId="11" fillId="0" borderId="0" xfId="0" applyFont="1" applyAlignment="1">
      <alignment/>
    </xf>
    <xf numFmtId="176" fontId="11" fillId="0" borderId="0" xfId="0" applyNumberFormat="1" applyFont="1" applyAlignment="1">
      <alignment/>
    </xf>
    <xf numFmtId="14" fontId="12" fillId="0" borderId="0" xfId="0" applyNumberFormat="1" applyFont="1" applyAlignment="1" quotePrefix="1">
      <alignment horizontal="center" vertical="center"/>
    </xf>
    <xf numFmtId="0" fontId="13" fillId="0" borderId="14" xfId="0" applyFont="1" applyBorder="1" applyAlignment="1">
      <alignment horizontal="center"/>
    </xf>
    <xf numFmtId="176" fontId="13" fillId="0" borderId="14" xfId="0" applyNumberFormat="1" applyFont="1" applyBorder="1" applyAlignment="1">
      <alignment horizontal="center"/>
    </xf>
    <xf numFmtId="0" fontId="11" fillId="0" borderId="0" xfId="0" applyFont="1" applyFill="1" applyBorder="1" applyAlignment="1">
      <alignment/>
    </xf>
    <xf numFmtId="176" fontId="11" fillId="0" borderId="0" xfId="0" applyNumberFormat="1" applyFont="1" applyFill="1" applyBorder="1" applyAlignment="1">
      <alignment/>
    </xf>
    <xf numFmtId="0" fontId="79" fillId="0" borderId="0" xfId="0" applyFont="1" applyBorder="1" applyAlignment="1">
      <alignment/>
    </xf>
    <xf numFmtId="176" fontId="6" fillId="0" borderId="11" xfId="0" applyNumberFormat="1" applyFont="1" applyFill="1" applyBorder="1" applyAlignment="1">
      <alignment horizontal="right"/>
    </xf>
    <xf numFmtId="176" fontId="6" fillId="0" borderId="12" xfId="0" applyNumberFormat="1" applyFont="1" applyFill="1" applyBorder="1" applyAlignment="1">
      <alignment horizontal="right"/>
    </xf>
    <xf numFmtId="0" fontId="0" fillId="0" borderId="0" xfId="0" applyFont="1" applyAlignment="1">
      <alignment vertical="center"/>
    </xf>
    <xf numFmtId="176" fontId="13" fillId="0" borderId="15" xfId="0" applyNumberFormat="1" applyFont="1" applyFill="1" applyBorder="1" applyAlignment="1">
      <alignment horizontal="center"/>
    </xf>
    <xf numFmtId="0" fontId="0" fillId="0" borderId="16" xfId="0" applyFont="1" applyFill="1" applyBorder="1" applyAlignment="1">
      <alignment horizontal="center" vertical="center"/>
    </xf>
    <xf numFmtId="0" fontId="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5" fillId="0" borderId="0" xfId="0" applyNumberFormat="1" applyFont="1" applyFill="1" applyAlignment="1">
      <alignment vertical="top"/>
    </xf>
    <xf numFmtId="176" fontId="13" fillId="0" borderId="0" xfId="0" applyNumberFormat="1" applyFont="1" applyFill="1" applyBorder="1" applyAlignment="1">
      <alignment horizontal="center"/>
    </xf>
    <xf numFmtId="0" fontId="0" fillId="0" borderId="21" xfId="0" applyBorder="1" applyAlignment="1">
      <alignment vertical="center"/>
    </xf>
    <xf numFmtId="0" fontId="0" fillId="0" borderId="22" xfId="0" applyBorder="1" applyAlignment="1">
      <alignment vertical="center"/>
    </xf>
    <xf numFmtId="0" fontId="2" fillId="0" borderId="16" xfId="0" applyFont="1" applyBorder="1" applyAlignment="1">
      <alignment horizontal="center"/>
    </xf>
    <xf numFmtId="0" fontId="8" fillId="0" borderId="23" xfId="0" applyFont="1" applyFill="1" applyBorder="1" applyAlignment="1">
      <alignment/>
    </xf>
    <xf numFmtId="0" fontId="8" fillId="0" borderId="24" xfId="0" applyFont="1" applyFill="1" applyBorder="1" applyAlignment="1">
      <alignment horizontal="center"/>
    </xf>
    <xf numFmtId="0" fontId="8" fillId="0" borderId="24" xfId="0" applyFont="1" applyFill="1" applyBorder="1" applyAlignment="1">
      <alignment/>
    </xf>
    <xf numFmtId="0" fontId="8" fillId="0" borderId="24" xfId="0" applyFont="1" applyFill="1" applyBorder="1" applyAlignment="1">
      <alignment horizontal="right"/>
    </xf>
    <xf numFmtId="0" fontId="6" fillId="0" borderId="25" xfId="0" applyNumberFormat="1" applyFont="1" applyFill="1" applyBorder="1" applyAlignment="1">
      <alignment/>
    </xf>
    <xf numFmtId="0" fontId="6" fillId="0" borderId="26" xfId="0" applyFont="1" applyFill="1" applyBorder="1" applyAlignment="1">
      <alignment/>
    </xf>
    <xf numFmtId="176" fontId="6" fillId="0" borderId="10" xfId="0" applyNumberFormat="1" applyFont="1" applyFill="1" applyBorder="1" applyAlignment="1">
      <alignment/>
    </xf>
    <xf numFmtId="0" fontId="6" fillId="0" borderId="10" xfId="0" applyFont="1" applyFill="1" applyBorder="1" applyAlignment="1">
      <alignment horizontal="left"/>
    </xf>
    <xf numFmtId="0" fontId="6" fillId="0" borderId="10" xfId="0" applyFont="1" applyFill="1" applyBorder="1" applyAlignment="1">
      <alignment horizontal="center"/>
    </xf>
    <xf numFmtId="0" fontId="6" fillId="0" borderId="10" xfId="0" applyNumberFormat="1" applyFont="1" applyFill="1" applyBorder="1" applyAlignment="1">
      <alignment horizontal="center"/>
    </xf>
    <xf numFmtId="178" fontId="6" fillId="0" borderId="10" xfId="0" applyNumberFormat="1" applyFont="1" applyFill="1" applyBorder="1" applyAlignment="1">
      <alignment/>
    </xf>
    <xf numFmtId="176" fontId="6" fillId="0" borderId="10" xfId="0" applyNumberFormat="1" applyFont="1" applyFill="1" applyBorder="1" applyAlignment="1">
      <alignment horizontal="right"/>
    </xf>
    <xf numFmtId="179" fontId="6" fillId="0" borderId="10" xfId="0" applyNumberFormat="1" applyFont="1" applyFill="1" applyBorder="1" applyAlignment="1">
      <alignment/>
    </xf>
    <xf numFmtId="177" fontId="6" fillId="0" borderId="10" xfId="0" applyNumberFormat="1" applyFont="1" applyFill="1" applyBorder="1" applyAlignment="1">
      <alignment/>
    </xf>
    <xf numFmtId="0" fontId="6" fillId="0" borderId="27" xfId="0" applyFont="1" applyFill="1" applyBorder="1" applyAlignment="1">
      <alignment/>
    </xf>
    <xf numFmtId="0" fontId="6" fillId="0" borderId="11" xfId="0" applyFont="1" applyFill="1" applyBorder="1" applyAlignment="1">
      <alignment horizontal="left"/>
    </xf>
    <xf numFmtId="0" fontId="6" fillId="0" borderId="11" xfId="0" applyNumberFormat="1" applyFont="1" applyFill="1" applyBorder="1" applyAlignment="1">
      <alignment horizontal="center"/>
    </xf>
    <xf numFmtId="179" fontId="6" fillId="0" borderId="11" xfId="0" applyNumberFormat="1" applyFont="1" applyFill="1" applyBorder="1" applyAlignment="1">
      <alignment/>
    </xf>
    <xf numFmtId="177" fontId="6" fillId="0" borderId="11" xfId="0" applyNumberFormat="1" applyFont="1" applyFill="1" applyBorder="1" applyAlignment="1">
      <alignment/>
    </xf>
    <xf numFmtId="0" fontId="6" fillId="0" borderId="28" xfId="0" applyFont="1" applyFill="1" applyBorder="1" applyAlignment="1">
      <alignment/>
    </xf>
    <xf numFmtId="0" fontId="6" fillId="0" borderId="12" xfId="0" applyFont="1" applyFill="1" applyBorder="1" applyAlignment="1">
      <alignment horizontal="left"/>
    </xf>
    <xf numFmtId="0" fontId="6" fillId="0" borderId="12" xfId="0" applyNumberFormat="1" applyFont="1" applyFill="1" applyBorder="1" applyAlignment="1">
      <alignment horizontal="center"/>
    </xf>
    <xf numFmtId="179" fontId="6" fillId="0" borderId="12" xfId="0" applyNumberFormat="1" applyFont="1" applyFill="1" applyBorder="1" applyAlignment="1">
      <alignment/>
    </xf>
    <xf numFmtId="177" fontId="6" fillId="0" borderId="12" xfId="0" applyNumberFormat="1" applyFont="1" applyFill="1" applyBorder="1" applyAlignment="1">
      <alignment/>
    </xf>
    <xf numFmtId="0" fontId="6" fillId="0" borderId="29" xfId="0" applyFont="1" applyFill="1" applyBorder="1" applyAlignment="1">
      <alignment/>
    </xf>
    <xf numFmtId="181" fontId="6" fillId="0" borderId="21" xfId="0" applyNumberFormat="1" applyFont="1" applyFill="1" applyBorder="1" applyAlignment="1">
      <alignment horizontal="right"/>
    </xf>
    <xf numFmtId="0" fontId="2" fillId="0" borderId="0" xfId="0" applyFont="1" applyFill="1" applyAlignment="1">
      <alignment/>
    </xf>
    <xf numFmtId="0" fontId="80" fillId="0" borderId="0" xfId="0" applyFont="1" applyFill="1" applyAlignment="1">
      <alignment/>
    </xf>
    <xf numFmtId="0" fontId="8" fillId="0" borderId="30" xfId="0" applyFont="1" applyFill="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0" fillId="0" borderId="20" xfId="0" applyBorder="1" applyAlignment="1">
      <alignment horizontal="center" vertical="center"/>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7" fillId="0" borderId="32" xfId="0" applyFont="1" applyFill="1" applyBorder="1" applyAlignment="1">
      <alignment horizontal="left"/>
    </xf>
    <xf numFmtId="0" fontId="20" fillId="1" borderId="15" xfId="0" applyFont="1" applyFill="1" applyBorder="1" applyAlignment="1">
      <alignment horizontal="center" vertical="center"/>
    </xf>
    <xf numFmtId="0" fontId="20" fillId="0" borderId="33" xfId="0" applyFont="1" applyFill="1" applyBorder="1" applyAlignment="1">
      <alignment horizontal="center" vertical="center"/>
    </xf>
    <xf numFmtId="0" fontId="17" fillId="1" borderId="33" xfId="0" applyFont="1" applyFill="1" applyBorder="1" applyAlignment="1">
      <alignment horizontal="center" vertical="center"/>
    </xf>
    <xf numFmtId="0" fontId="16" fillId="1" borderId="34" xfId="0" applyFont="1" applyFill="1" applyBorder="1" applyAlignment="1">
      <alignment horizontal="center" vertical="center"/>
    </xf>
    <xf numFmtId="0" fontId="20" fillId="0" borderId="35" xfId="0" applyFont="1" applyBorder="1" applyAlignment="1">
      <alignment horizontal="right" vertical="center"/>
    </xf>
    <xf numFmtId="0" fontId="20" fillId="0" borderId="36" xfId="0" applyFont="1" applyBorder="1" applyAlignment="1">
      <alignment horizontal="left" vertical="center"/>
    </xf>
    <xf numFmtId="0" fontId="11" fillId="0" borderId="14" xfId="0" applyFont="1" applyFill="1" applyBorder="1" applyAlignment="1">
      <alignment/>
    </xf>
    <xf numFmtId="176" fontId="6" fillId="0" borderId="11" xfId="0" applyNumberFormat="1" applyFont="1" applyFill="1" applyBorder="1" applyAlignment="1">
      <alignment horizontal="right" vertical="center"/>
    </xf>
    <xf numFmtId="0" fontId="6" fillId="0" borderId="37" xfId="0" applyNumberFormat="1" applyFont="1" applyFill="1" applyBorder="1" applyAlignment="1" quotePrefix="1">
      <alignment horizontal="center"/>
    </xf>
    <xf numFmtId="0" fontId="6" fillId="0" borderId="38" xfId="0" applyNumberFormat="1" applyFont="1" applyFill="1" applyBorder="1" applyAlignment="1" quotePrefix="1">
      <alignment horizontal="center"/>
    </xf>
    <xf numFmtId="0" fontId="6" fillId="0" borderId="39" xfId="0" applyNumberFormat="1" applyFont="1" applyFill="1" applyBorder="1" applyAlignment="1" quotePrefix="1">
      <alignment horizontal="center"/>
    </xf>
    <xf numFmtId="181" fontId="6" fillId="0" borderId="10" xfId="0" applyNumberFormat="1" applyFont="1" applyFill="1" applyBorder="1" applyAlignment="1">
      <alignment horizontal="right" vertical="top"/>
    </xf>
    <xf numFmtId="181" fontId="6" fillId="0" borderId="11" xfId="0" applyNumberFormat="1" applyFont="1" applyFill="1" applyBorder="1" applyAlignment="1">
      <alignment horizontal="right" vertical="top"/>
    </xf>
    <xf numFmtId="181" fontId="6" fillId="0" borderId="12" xfId="0" applyNumberFormat="1" applyFont="1" applyFill="1" applyBorder="1" applyAlignment="1">
      <alignment horizontal="right" vertical="top"/>
    </xf>
    <xf numFmtId="0" fontId="13" fillId="0" borderId="18" xfId="0" applyNumberFormat="1" applyFont="1" applyFill="1" applyBorder="1" applyAlignment="1">
      <alignment horizontal="center"/>
    </xf>
    <xf numFmtId="178" fontId="6" fillId="0" borderId="10" xfId="0" applyNumberFormat="1" applyFont="1" applyFill="1" applyBorder="1" applyAlignment="1">
      <alignment horizontal="right"/>
    </xf>
    <xf numFmtId="0" fontId="0" fillId="0" borderId="17" xfId="0" applyBorder="1" applyAlignment="1">
      <alignment vertical="center"/>
    </xf>
    <xf numFmtId="49" fontId="5" fillId="0" borderId="0" xfId="0" applyNumberFormat="1" applyFont="1" applyFill="1" applyAlignment="1">
      <alignment horizontal="center" vertical="top"/>
    </xf>
    <xf numFmtId="178" fontId="6" fillId="0" borderId="12" xfId="0" applyNumberFormat="1" applyFont="1" applyFill="1" applyBorder="1" applyAlignment="1">
      <alignment horizontal="right"/>
    </xf>
    <xf numFmtId="0" fontId="16" fillId="0" borderId="31" xfId="0" applyFont="1" applyFill="1" applyBorder="1" applyAlignment="1">
      <alignment horizontal="left"/>
    </xf>
    <xf numFmtId="0" fontId="6" fillId="0" borderId="40" xfId="0" applyNumberFormat="1" applyFont="1" applyFill="1" applyBorder="1" applyAlignment="1" quotePrefix="1">
      <alignment horizontal="center"/>
    </xf>
    <xf numFmtId="0" fontId="6" fillId="0" borderId="13" xfId="0" applyNumberFormat="1" applyFont="1" applyFill="1" applyBorder="1" applyAlignment="1">
      <alignment horizontal="center"/>
    </xf>
    <xf numFmtId="179" fontId="6" fillId="0" borderId="13" xfId="0" applyNumberFormat="1" applyFont="1" applyFill="1" applyBorder="1" applyAlignment="1">
      <alignment/>
    </xf>
    <xf numFmtId="177" fontId="6" fillId="0" borderId="13" xfId="0" applyNumberFormat="1" applyFont="1" applyFill="1" applyBorder="1" applyAlignment="1">
      <alignment/>
    </xf>
    <xf numFmtId="0" fontId="6" fillId="0" borderId="41" xfId="0" applyFont="1" applyFill="1" applyBorder="1" applyAlignment="1">
      <alignment/>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3" fillId="0" borderId="0" xfId="0" applyFont="1" applyAlignment="1">
      <alignment horizontal="center" vertical="center"/>
    </xf>
    <xf numFmtId="180" fontId="2" fillId="0" borderId="18" xfId="0" applyNumberFormat="1" applyFont="1" applyBorder="1" applyAlignment="1">
      <alignment horizontal="center" vertical="center"/>
    </xf>
    <xf numFmtId="180" fontId="2" fillId="0" borderId="19" xfId="0" applyNumberFormat="1" applyFont="1" applyBorder="1" applyAlignment="1">
      <alignment horizontal="center" vertical="center"/>
    </xf>
    <xf numFmtId="0" fontId="8" fillId="0" borderId="14" xfId="0" applyFont="1" applyFill="1" applyBorder="1" applyAlignment="1">
      <alignment horizontal="center"/>
    </xf>
    <xf numFmtId="0" fontId="0" fillId="0" borderId="14" xfId="0" applyBorder="1" applyAlignment="1">
      <alignment vertical="center"/>
    </xf>
    <xf numFmtId="0" fontId="6" fillId="0" borderId="32" xfId="0" applyFont="1" applyFill="1" applyBorder="1" applyAlignment="1">
      <alignment horizontal="center"/>
    </xf>
    <xf numFmtId="0" fontId="20" fillId="0" borderId="0" xfId="0" applyFont="1" applyFill="1" applyAlignment="1">
      <alignment/>
    </xf>
    <xf numFmtId="176" fontId="6" fillId="0" borderId="10" xfId="0" applyNumberFormat="1" applyFont="1" applyFill="1" applyBorder="1" applyAlignment="1">
      <alignment horizontal="center"/>
    </xf>
    <xf numFmtId="180" fontId="20" fillId="0" borderId="42" xfId="0" applyNumberFormat="1" applyFont="1" applyBorder="1" applyAlignment="1">
      <alignment horizontal="center" vertical="center"/>
    </xf>
    <xf numFmtId="0" fontId="16" fillId="0" borderId="43" xfId="0" applyFont="1" applyFill="1" applyBorder="1" applyAlignment="1">
      <alignment horizontal="center"/>
    </xf>
    <xf numFmtId="0" fontId="8" fillId="0" borderId="44" xfId="0" applyFont="1" applyFill="1" applyBorder="1" applyAlignment="1">
      <alignment horizontal="center"/>
    </xf>
    <xf numFmtId="0" fontId="8" fillId="0" borderId="45" xfId="0" applyFont="1" applyFill="1" applyBorder="1" applyAlignment="1">
      <alignment horizontal="center"/>
    </xf>
    <xf numFmtId="178" fontId="6" fillId="0" borderId="37" xfId="0" applyNumberFormat="1" applyFont="1" applyFill="1" applyBorder="1" applyAlignment="1">
      <alignment/>
    </xf>
    <xf numFmtId="178" fontId="6" fillId="0" borderId="46" xfId="0" applyNumberFormat="1" applyFont="1" applyFill="1" applyBorder="1" applyAlignment="1">
      <alignment/>
    </xf>
    <xf numFmtId="178" fontId="6" fillId="0" borderId="22" xfId="0" applyNumberFormat="1" applyFont="1" applyFill="1" applyBorder="1" applyAlignment="1">
      <alignment/>
    </xf>
    <xf numFmtId="178" fontId="6" fillId="0" borderId="34" xfId="0" applyNumberFormat="1" applyFont="1" applyFill="1" applyBorder="1" applyAlignment="1">
      <alignment/>
    </xf>
    <xf numFmtId="178" fontId="6" fillId="0" borderId="21" xfId="0" applyNumberFormat="1" applyFont="1" applyFill="1" applyBorder="1" applyAlignment="1">
      <alignment/>
    </xf>
    <xf numFmtId="181" fontId="6" fillId="0" borderId="37" xfId="0" applyNumberFormat="1" applyFont="1" applyFill="1" applyBorder="1" applyAlignment="1">
      <alignment horizontal="right" vertical="top"/>
    </xf>
    <xf numFmtId="181" fontId="6" fillId="0" borderId="46" xfId="0" applyNumberFormat="1" applyFont="1" applyFill="1" applyBorder="1" applyAlignment="1">
      <alignment horizontal="right"/>
    </xf>
    <xf numFmtId="181" fontId="6" fillId="0" borderId="22" xfId="0" applyNumberFormat="1" applyFont="1" applyFill="1" applyBorder="1" applyAlignment="1">
      <alignment horizontal="right" vertical="top"/>
    </xf>
    <xf numFmtId="181" fontId="6" fillId="0" borderId="34" xfId="0" applyNumberFormat="1" applyFont="1" applyFill="1" applyBorder="1" applyAlignment="1">
      <alignment horizontal="right" vertical="top"/>
    </xf>
    <xf numFmtId="0" fontId="84" fillId="0" borderId="0" xfId="0" applyFont="1" applyAlignment="1">
      <alignment vertical="center"/>
    </xf>
    <xf numFmtId="0" fontId="0" fillId="0" borderId="14" xfId="0" applyFont="1" applyBorder="1" applyAlignment="1">
      <alignment vertical="center"/>
    </xf>
    <xf numFmtId="0" fontId="0" fillId="0" borderId="47" xfId="0" applyFont="1" applyBorder="1" applyAlignment="1">
      <alignment horizontal="center" vertical="center"/>
    </xf>
    <xf numFmtId="0" fontId="0" fillId="0" borderId="17" xfId="0" applyFont="1" applyFill="1" applyBorder="1" applyAlignment="1">
      <alignment vertical="center"/>
    </xf>
    <xf numFmtId="0" fontId="0" fillId="0" borderId="34" xfId="0" applyBorder="1" applyAlignment="1">
      <alignment vertical="center"/>
    </xf>
    <xf numFmtId="56" fontId="20" fillId="0" borderId="33" xfId="0" applyNumberFormat="1" applyFont="1" applyBorder="1" applyAlignment="1">
      <alignment horizontal="right" vertical="center"/>
    </xf>
    <xf numFmtId="0" fontId="0" fillId="0" borderId="0" xfId="0" applyAlignment="1">
      <alignment horizontal="center" vertical="center"/>
    </xf>
    <xf numFmtId="56" fontId="2" fillId="0" borderId="19" xfId="0" applyNumberFormat="1" applyFont="1" applyBorder="1" applyAlignment="1">
      <alignment horizontal="right" vertical="center"/>
    </xf>
    <xf numFmtId="56" fontId="2" fillId="0" borderId="20" xfId="0" applyNumberFormat="1" applyFont="1" applyBorder="1" applyAlignment="1">
      <alignment horizontal="right" vertical="center"/>
    </xf>
    <xf numFmtId="0" fontId="13" fillId="0" borderId="20" xfId="0" applyNumberFormat="1" applyFont="1" applyFill="1" applyBorder="1" applyAlignment="1">
      <alignment horizontal="center"/>
    </xf>
    <xf numFmtId="0" fontId="16" fillId="1" borderId="22" xfId="0" applyFont="1" applyFill="1" applyBorder="1" applyAlignment="1">
      <alignment horizontal="center" vertical="center"/>
    </xf>
    <xf numFmtId="0" fontId="0" fillId="0" borderId="33" xfId="0" applyFont="1" applyBorder="1" applyAlignment="1">
      <alignment horizontal="center" vertical="center"/>
    </xf>
    <xf numFmtId="0" fontId="16" fillId="0" borderId="34" xfId="0" applyFont="1" applyFill="1" applyBorder="1" applyAlignment="1">
      <alignment horizontal="center" vertical="center"/>
    </xf>
    <xf numFmtId="180" fontId="6" fillId="0" borderId="48" xfId="0" applyNumberFormat="1" applyFont="1" applyFill="1" applyBorder="1" applyAlignment="1">
      <alignment horizontal="center"/>
    </xf>
    <xf numFmtId="180" fontId="6" fillId="0" borderId="49" xfId="0" applyNumberFormat="1" applyFont="1" applyFill="1" applyBorder="1" applyAlignment="1">
      <alignment horizontal="center"/>
    </xf>
    <xf numFmtId="180" fontId="6" fillId="0" borderId="50" xfId="0" applyNumberFormat="1" applyFont="1" applyFill="1" applyBorder="1" applyAlignment="1">
      <alignment horizontal="center"/>
    </xf>
    <xf numFmtId="180" fontId="6" fillId="0" borderId="51" xfId="0" applyNumberFormat="1" applyFont="1" applyFill="1" applyBorder="1" applyAlignment="1">
      <alignment horizontal="center"/>
    </xf>
    <xf numFmtId="178" fontId="6" fillId="0" borderId="11" xfId="0" applyNumberFormat="1" applyFont="1" applyFill="1" applyBorder="1" applyAlignment="1">
      <alignment horizontal="right"/>
    </xf>
    <xf numFmtId="0" fontId="6" fillId="0" borderId="13" xfId="0" applyFont="1" applyFill="1" applyBorder="1" applyAlignment="1">
      <alignment horizontal="left"/>
    </xf>
    <xf numFmtId="0" fontId="6" fillId="0" borderId="13" xfId="0" applyFont="1" applyFill="1" applyBorder="1" applyAlignment="1">
      <alignment horizontal="center"/>
    </xf>
    <xf numFmtId="176" fontId="6" fillId="0" borderId="13" xfId="0" applyNumberFormat="1" applyFont="1" applyFill="1" applyBorder="1" applyAlignment="1">
      <alignment horizontal="right"/>
    </xf>
    <xf numFmtId="181" fontId="6" fillId="0" borderId="13" xfId="0" applyNumberFormat="1" applyFont="1" applyFill="1" applyBorder="1" applyAlignment="1">
      <alignment horizontal="right" vertical="top"/>
    </xf>
    <xf numFmtId="0" fontId="0" fillId="0" borderId="16" xfId="0" applyBorder="1" applyAlignment="1">
      <alignment horizontal="center" vertical="center"/>
    </xf>
    <xf numFmtId="0" fontId="0" fillId="0" borderId="16" xfId="0" applyBorder="1" applyAlignment="1">
      <alignment vertical="center"/>
    </xf>
    <xf numFmtId="0" fontId="0" fillId="0" borderId="52" xfId="0" applyBorder="1" applyAlignment="1">
      <alignment vertical="center"/>
    </xf>
    <xf numFmtId="176" fontId="6" fillId="0" borderId="53" xfId="0" applyNumberFormat="1" applyFont="1" applyFill="1" applyBorder="1" applyAlignment="1">
      <alignment/>
    </xf>
    <xf numFmtId="0" fontId="6" fillId="0" borderId="53" xfId="0" applyFont="1" applyFill="1" applyBorder="1" applyAlignment="1">
      <alignment horizontal="center"/>
    </xf>
    <xf numFmtId="176" fontId="6" fillId="0" borderId="53" xfId="0" applyNumberFormat="1" applyFont="1" applyFill="1" applyBorder="1" applyAlignment="1">
      <alignment horizontal="right"/>
    </xf>
    <xf numFmtId="21" fontId="6" fillId="0" borderId="53" xfId="0" applyNumberFormat="1" applyFont="1" applyFill="1" applyBorder="1" applyAlignment="1">
      <alignment horizontal="center"/>
    </xf>
    <xf numFmtId="179" fontId="6" fillId="0" borderId="53" xfId="0" applyNumberFormat="1" applyFont="1" applyFill="1" applyBorder="1" applyAlignment="1">
      <alignment/>
    </xf>
    <xf numFmtId="177" fontId="6" fillId="0" borderId="53" xfId="0" applyNumberFormat="1" applyFont="1" applyFill="1" applyBorder="1" applyAlignment="1">
      <alignment/>
    </xf>
    <xf numFmtId="181" fontId="6" fillId="0" borderId="53" xfId="0" applyNumberFormat="1" applyFont="1" applyFill="1" applyBorder="1" applyAlignment="1">
      <alignment horizontal="right" vertical="top"/>
    </xf>
    <xf numFmtId="178" fontId="6" fillId="0" borderId="53" xfId="0" applyNumberFormat="1" applyFont="1" applyFill="1" applyBorder="1" applyAlignment="1">
      <alignment horizontal="right"/>
    </xf>
    <xf numFmtId="178" fontId="6" fillId="0" borderId="13" xfId="0" applyNumberFormat="1" applyFont="1" applyFill="1" applyBorder="1" applyAlignment="1">
      <alignment horizontal="right"/>
    </xf>
    <xf numFmtId="0" fontId="8" fillId="0" borderId="20" xfId="0" applyFont="1" applyBorder="1" applyAlignment="1">
      <alignment horizontal="center"/>
    </xf>
    <xf numFmtId="0" fontId="5" fillId="0" borderId="0" xfId="0" applyFont="1" applyAlignment="1">
      <alignment horizontal="center"/>
    </xf>
    <xf numFmtId="0" fontId="85" fillId="0" borderId="0" xfId="0" applyFont="1" applyAlignment="1">
      <alignment vertical="center"/>
    </xf>
    <xf numFmtId="0" fontId="20" fillId="0" borderId="0" xfId="0" applyFont="1" applyAlignment="1">
      <alignment vertical="center"/>
    </xf>
    <xf numFmtId="0" fontId="5" fillId="0" borderId="0" xfId="0" applyFont="1" applyAlignment="1">
      <alignment vertical="center"/>
    </xf>
    <xf numFmtId="0" fontId="22" fillId="0" borderId="0" xfId="0" applyFont="1" applyAlignment="1">
      <alignment/>
    </xf>
    <xf numFmtId="0" fontId="8" fillId="0" borderId="0" xfId="0" applyFont="1" applyBorder="1" applyAlignment="1">
      <alignment vertical="center" shrinkToFit="1"/>
    </xf>
    <xf numFmtId="184" fontId="8" fillId="33" borderId="24" xfId="0" applyNumberFormat="1" applyFont="1" applyFill="1" applyBorder="1" applyAlignment="1">
      <alignment horizontal="center" vertical="center"/>
    </xf>
    <xf numFmtId="183" fontId="7" fillId="33" borderId="3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xf>
    <xf numFmtId="176" fontId="8" fillId="0" borderId="10" xfId="0" applyNumberFormat="1" applyFont="1" applyBorder="1" applyAlignment="1" quotePrefix="1">
      <alignment horizontal="center"/>
    </xf>
    <xf numFmtId="0" fontId="6" fillId="0" borderId="11" xfId="0" applyFont="1" applyBorder="1" applyAlignment="1">
      <alignment horizontal="left" shrinkToFit="1"/>
    </xf>
    <xf numFmtId="179" fontId="6" fillId="0" borderId="10" xfId="0" applyNumberFormat="1" applyFont="1" applyBorder="1" applyAlignment="1" quotePrefix="1">
      <alignment horizontal="right"/>
    </xf>
    <xf numFmtId="179" fontId="6" fillId="0" borderId="10" xfId="0" applyNumberFormat="1" applyFont="1" applyBorder="1" applyAlignment="1">
      <alignment/>
    </xf>
    <xf numFmtId="0" fontId="8" fillId="0" borderId="10" xfId="0" applyFont="1" applyBorder="1" applyAlignment="1">
      <alignment horizontal="center"/>
    </xf>
    <xf numFmtId="0" fontId="8" fillId="0" borderId="0" xfId="0" applyFont="1" applyBorder="1" applyAlignment="1">
      <alignment/>
    </xf>
    <xf numFmtId="176" fontId="8" fillId="0" borderId="11" xfId="0" applyNumberFormat="1" applyFont="1" applyBorder="1" applyAlignment="1" quotePrefix="1">
      <alignment horizontal="center"/>
    </xf>
    <xf numFmtId="179" fontId="6" fillId="0" borderId="11" xfId="0" applyNumberFormat="1" applyFont="1" applyBorder="1" applyAlignment="1" quotePrefix="1">
      <alignment horizontal="right"/>
    </xf>
    <xf numFmtId="179" fontId="6" fillId="0" borderId="11" xfId="0" applyNumberFormat="1" applyFont="1" applyBorder="1" applyAlignment="1">
      <alignment horizontal="right"/>
    </xf>
    <xf numFmtId="179" fontId="6" fillId="0" borderId="11" xfId="0" applyNumberFormat="1" applyFont="1" applyBorder="1" applyAlignment="1">
      <alignment/>
    </xf>
    <xf numFmtId="0" fontId="8" fillId="0" borderId="11" xfId="0" applyFont="1" applyBorder="1" applyAlignment="1">
      <alignment horizontal="center"/>
    </xf>
    <xf numFmtId="179" fontId="86" fillId="0" borderId="11" xfId="0" applyNumberFormat="1" applyFont="1" applyBorder="1" applyAlignment="1" quotePrefix="1">
      <alignment horizontal="right"/>
    </xf>
    <xf numFmtId="176" fontId="8" fillId="0" borderId="12" xfId="0" applyNumberFormat="1" applyFont="1" applyBorder="1" applyAlignment="1" quotePrefix="1">
      <alignment horizontal="center"/>
    </xf>
    <xf numFmtId="0" fontId="6" fillId="0" borderId="12" xfId="0" applyFont="1" applyBorder="1" applyAlignment="1">
      <alignment horizontal="left" shrinkToFit="1"/>
    </xf>
    <xf numFmtId="179" fontId="6" fillId="0" borderId="12" xfId="0" applyNumberFormat="1" applyFont="1" applyBorder="1" applyAlignment="1" quotePrefix="1">
      <alignment horizontal="right"/>
    </xf>
    <xf numFmtId="179" fontId="6" fillId="0" borderId="12" xfId="0" applyNumberFormat="1" applyFont="1" applyBorder="1" applyAlignment="1">
      <alignment/>
    </xf>
    <xf numFmtId="0" fontId="8" fillId="0" borderId="12" xfId="0" applyFont="1" applyBorder="1" applyAlignment="1">
      <alignment horizontal="center"/>
    </xf>
    <xf numFmtId="176" fontId="6" fillId="0" borderId="13" xfId="0" applyNumberFormat="1" applyFont="1" applyBorder="1" applyAlignment="1">
      <alignment/>
    </xf>
    <xf numFmtId="0" fontId="6" fillId="0" borderId="13" xfId="0" applyFont="1" applyBorder="1" applyAlignment="1">
      <alignment horizontal="left" shrinkToFit="1"/>
    </xf>
    <xf numFmtId="179" fontId="6" fillId="0" borderId="13" xfId="0" applyNumberFormat="1" applyFont="1" applyBorder="1" applyAlignment="1">
      <alignment/>
    </xf>
    <xf numFmtId="0" fontId="8" fillId="0" borderId="13" xfId="0" applyFont="1" applyBorder="1" applyAlignment="1">
      <alignment horizontal="center"/>
    </xf>
    <xf numFmtId="179" fontId="87" fillId="0" borderId="11" xfId="0" applyNumberFormat="1" applyFont="1" applyBorder="1" applyAlignment="1" quotePrefix="1">
      <alignment horizontal="right"/>
    </xf>
    <xf numFmtId="0" fontId="8" fillId="0" borderId="0" xfId="0" applyFont="1" applyAlignment="1">
      <alignment shrinkToFit="1"/>
    </xf>
    <xf numFmtId="0" fontId="8" fillId="0" borderId="54" xfId="0" applyFont="1" applyBorder="1" applyAlignment="1">
      <alignment/>
    </xf>
    <xf numFmtId="0" fontId="8" fillId="0" borderId="55" xfId="0" applyFont="1" applyBorder="1" applyAlignment="1">
      <alignment/>
    </xf>
    <xf numFmtId="0" fontId="8" fillId="0" borderId="56" xfId="0" applyFont="1" applyBorder="1" applyAlignment="1">
      <alignment/>
    </xf>
    <xf numFmtId="0" fontId="8" fillId="0" borderId="57" xfId="0" applyFont="1" applyBorder="1" applyAlignment="1">
      <alignment shrinkToFit="1"/>
    </xf>
    <xf numFmtId="0" fontId="8" fillId="0" borderId="0" xfId="0" applyFont="1" applyBorder="1" applyAlignment="1">
      <alignment horizontal="right"/>
    </xf>
    <xf numFmtId="0" fontId="8" fillId="0" borderId="58" xfId="0" applyFont="1" applyBorder="1" applyAlignment="1">
      <alignment horizontal="right"/>
    </xf>
    <xf numFmtId="0" fontId="24" fillId="0" borderId="0" xfId="0" applyFont="1" applyAlignment="1">
      <alignment horizontal="left" readingOrder="1"/>
    </xf>
    <xf numFmtId="0" fontId="8" fillId="0" borderId="59" xfId="0" applyFont="1" applyBorder="1" applyAlignment="1">
      <alignment/>
    </xf>
    <xf numFmtId="0" fontId="8" fillId="0" borderId="60" xfId="0" applyFont="1" applyBorder="1" applyAlignment="1">
      <alignment/>
    </xf>
    <xf numFmtId="0" fontId="8" fillId="0" borderId="61" xfId="0" applyFont="1" applyBorder="1" applyAlignment="1">
      <alignment/>
    </xf>
    <xf numFmtId="56" fontId="8" fillId="0" borderId="62" xfId="0" applyNumberFormat="1" applyFont="1" applyBorder="1" applyAlignment="1">
      <alignment vertical="center" shrinkToFit="1"/>
    </xf>
    <xf numFmtId="183" fontId="8" fillId="0" borderId="48" xfId="0" applyNumberFormat="1" applyFont="1" applyBorder="1" applyAlignment="1">
      <alignment vertical="center" shrinkToFit="1"/>
    </xf>
    <xf numFmtId="183" fontId="8" fillId="0" borderId="63" xfId="0" applyNumberFormat="1" applyFont="1" applyBorder="1" applyAlignment="1">
      <alignment vertical="center" shrinkToFit="1"/>
    </xf>
    <xf numFmtId="0" fontId="6" fillId="0" borderId="64" xfId="0" applyFont="1" applyBorder="1" applyAlignment="1">
      <alignment horizontal="center" vertical="center" shrinkToFit="1"/>
    </xf>
    <xf numFmtId="0" fontId="8" fillId="0" borderId="65" xfId="0" applyFont="1" applyBorder="1" applyAlignment="1">
      <alignment horizontal="center" vertical="center" shrinkToFit="1"/>
    </xf>
    <xf numFmtId="176" fontId="6" fillId="0" borderId="66" xfId="0" applyNumberFormat="1" applyFont="1" applyBorder="1" applyAlignment="1">
      <alignment horizontal="center" vertical="center" shrinkToFit="1"/>
    </xf>
    <xf numFmtId="0" fontId="6" fillId="0" borderId="67" xfId="0" applyFont="1" applyBorder="1" applyAlignment="1">
      <alignment horizontal="center" vertical="center" shrinkToFit="1"/>
    </xf>
    <xf numFmtId="176" fontId="25" fillId="0" borderId="62" xfId="0" applyNumberFormat="1" applyFont="1" applyBorder="1" applyAlignment="1">
      <alignment horizontal="center" vertical="center" shrinkToFit="1"/>
    </xf>
    <xf numFmtId="0" fontId="6" fillId="0" borderId="68" xfId="0" applyFont="1" applyBorder="1" applyAlignment="1">
      <alignment horizontal="center" vertical="center" shrinkToFit="1"/>
    </xf>
    <xf numFmtId="176" fontId="6" fillId="0" borderId="51" xfId="0" applyNumberFormat="1"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49" xfId="0"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49"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176" fontId="6" fillId="0" borderId="72" xfId="0" applyNumberFormat="1" applyFont="1" applyBorder="1" applyAlignment="1">
      <alignment horizontal="center" vertical="center" shrinkToFit="1"/>
    </xf>
    <xf numFmtId="0" fontId="6" fillId="0" borderId="73" xfId="0" applyFont="1" applyBorder="1" applyAlignment="1">
      <alignment horizontal="center" vertical="center" shrinkToFit="1"/>
    </xf>
    <xf numFmtId="176" fontId="6" fillId="0" borderId="74" xfId="0" applyNumberFormat="1" applyFont="1" applyBorder="1" applyAlignment="1">
      <alignment horizontal="center" vertical="center" shrinkToFit="1"/>
    </xf>
    <xf numFmtId="176" fontId="6" fillId="0" borderId="75" xfId="0" applyNumberFormat="1" applyFont="1" applyBorder="1" applyAlignment="1">
      <alignment horizontal="center" vertical="center" shrinkToFit="1"/>
    </xf>
    <xf numFmtId="0" fontId="6" fillId="0" borderId="76" xfId="0" applyFont="1" applyBorder="1" applyAlignment="1">
      <alignment horizontal="center" vertical="center" shrinkToFit="1"/>
    </xf>
    <xf numFmtId="176" fontId="6" fillId="0" borderId="77" xfId="0" applyNumberFormat="1" applyFont="1" applyBorder="1" applyAlignment="1">
      <alignment horizontal="center" vertical="center" shrinkToFit="1"/>
    </xf>
    <xf numFmtId="0" fontId="6" fillId="0" borderId="0" xfId="0" applyFont="1" applyAlignment="1">
      <alignment shrinkToFit="1"/>
    </xf>
    <xf numFmtId="176"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0" fillId="0" borderId="0" xfId="0" applyAlignment="1">
      <alignment/>
    </xf>
    <xf numFmtId="0" fontId="8" fillId="0" borderId="78" xfId="0" applyFont="1" applyBorder="1" applyAlignment="1">
      <alignment horizontal="center" vertical="center"/>
    </xf>
    <xf numFmtId="0" fontId="6" fillId="0" borderId="78" xfId="0" applyFont="1" applyBorder="1" applyAlignment="1">
      <alignment horizontal="center" vertical="center" wrapText="1"/>
    </xf>
    <xf numFmtId="0" fontId="8" fillId="0" borderId="14" xfId="0" applyFont="1" applyBorder="1" applyAlignment="1">
      <alignment horizontal="center" vertical="center" shrinkToFit="1"/>
    </xf>
    <xf numFmtId="182" fontId="6" fillId="0" borderId="11" xfId="0" applyNumberFormat="1" applyFont="1" applyBorder="1" applyAlignment="1">
      <alignment horizontal="right" shrinkToFit="1"/>
    </xf>
    <xf numFmtId="182" fontId="6" fillId="0" borderId="12" xfId="0" applyNumberFormat="1" applyFont="1" applyBorder="1" applyAlignment="1">
      <alignment horizontal="right" shrinkToFit="1"/>
    </xf>
    <xf numFmtId="182" fontId="6" fillId="0" borderId="13" xfId="0" applyNumberFormat="1" applyFont="1" applyBorder="1" applyAlignment="1">
      <alignment horizontal="right" shrinkToFit="1"/>
    </xf>
    <xf numFmtId="0" fontId="0" fillId="0" borderId="14" xfId="0" applyBorder="1" applyAlignment="1">
      <alignment/>
    </xf>
    <xf numFmtId="14" fontId="0" fillId="0" borderId="14" xfId="0" applyNumberFormat="1" applyBorder="1" applyAlignment="1">
      <alignment/>
    </xf>
    <xf numFmtId="14" fontId="0" fillId="0" borderId="0" xfId="0" applyNumberFormat="1" applyAlignment="1">
      <alignment/>
    </xf>
    <xf numFmtId="0" fontId="16" fillId="0" borderId="0" xfId="0" applyFont="1" applyAlignment="1">
      <alignment/>
    </xf>
    <xf numFmtId="0" fontId="6" fillId="0" borderId="53" xfId="0" applyFont="1" applyFill="1" applyBorder="1" applyAlignment="1">
      <alignment horizontal="left"/>
    </xf>
    <xf numFmtId="0" fontId="20" fillId="0" borderId="0" xfId="0"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horizontal="right" vertical="center" shrinkToFit="1"/>
    </xf>
    <xf numFmtId="0" fontId="8" fillId="0" borderId="0" xfId="0" applyFont="1" applyAlignment="1">
      <alignment horizontal="center" shrinkToFit="1"/>
    </xf>
    <xf numFmtId="0" fontId="8" fillId="0" borderId="62" xfId="0" applyFont="1" applyBorder="1" applyAlignment="1">
      <alignment horizontal="center"/>
    </xf>
    <xf numFmtId="0" fontId="8" fillId="0" borderId="69" xfId="0" applyFont="1" applyBorder="1" applyAlignment="1">
      <alignment horizontal="center"/>
    </xf>
    <xf numFmtId="0" fontId="8" fillId="0" borderId="75" xfId="0" applyFont="1" applyBorder="1" applyAlignment="1">
      <alignment horizontal="center"/>
    </xf>
    <xf numFmtId="0" fontId="8" fillId="0" borderId="66" xfId="0" applyFont="1" applyBorder="1" applyAlignment="1">
      <alignment horizontal="center"/>
    </xf>
    <xf numFmtId="179" fontId="6" fillId="0" borderId="0" xfId="0" applyNumberFormat="1" applyFont="1" applyBorder="1" applyAlignment="1">
      <alignment horizontal="center"/>
    </xf>
    <xf numFmtId="179" fontId="6" fillId="0" borderId="0" xfId="0" applyNumberFormat="1" applyFont="1" applyBorder="1" applyAlignment="1" quotePrefix="1">
      <alignment horizontal="center"/>
    </xf>
    <xf numFmtId="0" fontId="6" fillId="0" borderId="0" xfId="0" applyNumberFormat="1" applyFont="1" applyBorder="1" applyAlignment="1" quotePrefix="1">
      <alignment horizontal="center"/>
    </xf>
    <xf numFmtId="0" fontId="8" fillId="0" borderId="79" xfId="0" applyFont="1" applyBorder="1" applyAlignment="1">
      <alignment horizontal="center" vertical="center" wrapText="1"/>
    </xf>
    <xf numFmtId="176" fontId="8" fillId="0" borderId="37" xfId="0" applyNumberFormat="1" applyFont="1" applyBorder="1" applyAlignment="1" quotePrefix="1">
      <alignment horizontal="center"/>
    </xf>
    <xf numFmtId="0" fontId="8" fillId="0" borderId="80" xfId="0" applyFont="1" applyBorder="1" applyAlignment="1">
      <alignment horizontal="center"/>
    </xf>
    <xf numFmtId="176" fontId="8" fillId="0" borderId="38" xfId="0" applyNumberFormat="1" applyFont="1" applyBorder="1" applyAlignment="1" quotePrefix="1">
      <alignment horizontal="center"/>
    </xf>
    <xf numFmtId="0" fontId="8" fillId="0" borderId="81" xfId="0" applyFont="1" applyBorder="1" applyAlignment="1">
      <alignment horizontal="center"/>
    </xf>
    <xf numFmtId="176" fontId="8" fillId="0" borderId="39" xfId="0" applyNumberFormat="1" applyFont="1" applyBorder="1" applyAlignment="1" quotePrefix="1">
      <alignment horizontal="center"/>
    </xf>
    <xf numFmtId="0" fontId="8" fillId="0" borderId="82" xfId="0" applyFont="1" applyBorder="1" applyAlignment="1">
      <alignment horizontal="center"/>
    </xf>
    <xf numFmtId="0" fontId="8" fillId="0" borderId="83" xfId="0" applyFont="1" applyBorder="1" applyAlignment="1">
      <alignment horizontal="center"/>
    </xf>
    <xf numFmtId="176" fontId="6" fillId="0" borderId="84" xfId="0" applyNumberFormat="1" applyFont="1" applyBorder="1" applyAlignment="1" quotePrefix="1">
      <alignment horizontal="center"/>
    </xf>
    <xf numFmtId="0" fontId="8" fillId="0" borderId="84" xfId="0" applyFont="1" applyBorder="1" applyAlignment="1">
      <alignment horizontal="center"/>
    </xf>
    <xf numFmtId="0" fontId="8" fillId="0" borderId="85" xfId="0" applyFont="1" applyBorder="1" applyAlignment="1">
      <alignment horizontal="center"/>
    </xf>
    <xf numFmtId="0" fontId="8" fillId="0" borderId="86" xfId="0" applyFont="1" applyBorder="1" applyAlignment="1">
      <alignment horizontal="center"/>
    </xf>
    <xf numFmtId="176" fontId="8" fillId="0" borderId="87" xfId="0" applyNumberFormat="1" applyFont="1" applyBorder="1" applyAlignment="1" quotePrefix="1">
      <alignment horizontal="center"/>
    </xf>
    <xf numFmtId="176" fontId="6" fillId="0" borderId="88" xfId="0" applyNumberFormat="1" applyFont="1" applyBorder="1" applyAlignment="1">
      <alignment/>
    </xf>
    <xf numFmtId="0" fontId="6" fillId="0" borderId="88" xfId="0" applyFont="1" applyFill="1" applyBorder="1" applyAlignment="1">
      <alignment horizontal="left"/>
    </xf>
    <xf numFmtId="179" fontId="6" fillId="0" borderId="88" xfId="0" applyNumberFormat="1" applyFont="1" applyBorder="1" applyAlignment="1" quotePrefix="1">
      <alignment horizontal="right"/>
    </xf>
    <xf numFmtId="179" fontId="6" fillId="0" borderId="88" xfId="0" applyNumberFormat="1" applyFont="1" applyBorder="1" applyAlignment="1">
      <alignment/>
    </xf>
    <xf numFmtId="0" fontId="8" fillId="0" borderId="88" xfId="0" applyFont="1" applyBorder="1" applyAlignment="1">
      <alignment horizontal="center"/>
    </xf>
    <xf numFmtId="0" fontId="8" fillId="0" borderId="89" xfId="0" applyFont="1" applyBorder="1" applyAlignment="1">
      <alignment horizontal="center"/>
    </xf>
    <xf numFmtId="0" fontId="8" fillId="0" borderId="90" xfId="0" applyFont="1" applyBorder="1" applyAlignment="1">
      <alignment horizontal="center"/>
    </xf>
    <xf numFmtId="176" fontId="9" fillId="33" borderId="32" xfId="0" applyNumberFormat="1" applyFont="1" applyFill="1" applyBorder="1" applyAlignment="1">
      <alignment horizontal="center" vertical="center"/>
    </xf>
    <xf numFmtId="56" fontId="7" fillId="0" borderId="62" xfId="0" applyNumberFormat="1" applyFont="1" applyBorder="1" applyAlignment="1">
      <alignment vertical="center" shrinkToFit="1"/>
    </xf>
    <xf numFmtId="0" fontId="9" fillId="33" borderId="91" xfId="0" applyFont="1" applyFill="1" applyBorder="1" applyAlignment="1">
      <alignment horizontal="center" vertical="center"/>
    </xf>
    <xf numFmtId="184" fontId="8" fillId="33" borderId="92" xfId="0" applyNumberFormat="1" applyFont="1" applyFill="1" applyBorder="1" applyAlignment="1">
      <alignment horizontal="center" vertical="center"/>
    </xf>
    <xf numFmtId="0" fontId="0" fillId="0" borderId="15" xfId="0" applyBorder="1" applyAlignment="1">
      <alignment/>
    </xf>
    <xf numFmtId="0" fontId="0" fillId="0" borderId="33" xfId="0" applyBorder="1" applyAlignment="1">
      <alignment/>
    </xf>
    <xf numFmtId="0" fontId="0" fillId="0" borderId="47" xfId="0" applyFill="1" applyBorder="1" applyAlignment="1">
      <alignment/>
    </xf>
    <xf numFmtId="0" fontId="0" fillId="0" borderId="16" xfId="0" applyBorder="1" applyAlignment="1">
      <alignment/>
    </xf>
    <xf numFmtId="20" fontId="0" fillId="0" borderId="17" xfId="0" applyNumberFormat="1" applyBorder="1" applyAlignment="1">
      <alignment/>
    </xf>
    <xf numFmtId="0" fontId="0" fillId="0" borderId="17" xfId="0" applyBorder="1" applyAlignment="1">
      <alignment/>
    </xf>
    <xf numFmtId="0" fontId="0" fillId="0" borderId="22" xfId="0" applyBorder="1" applyAlignment="1">
      <alignment/>
    </xf>
    <xf numFmtId="14" fontId="0" fillId="0" borderId="34" xfId="0" applyNumberFormat="1" applyBorder="1" applyAlignment="1">
      <alignment/>
    </xf>
    <xf numFmtId="0" fontId="0" fillId="0" borderId="34" xfId="0" applyBorder="1" applyAlignment="1">
      <alignment/>
    </xf>
    <xf numFmtId="20" fontId="0" fillId="0" borderId="21" xfId="0" applyNumberFormat="1" applyBorder="1" applyAlignment="1">
      <alignment/>
    </xf>
    <xf numFmtId="14" fontId="8" fillId="0" borderId="0" xfId="0" applyNumberFormat="1" applyFont="1" applyAlignment="1">
      <alignment/>
    </xf>
    <xf numFmtId="0" fontId="0" fillId="34" borderId="14" xfId="0" applyFont="1" applyFill="1" applyBorder="1" applyAlignment="1" applyProtection="1">
      <alignment horizontal="left" indent="1"/>
      <protection/>
    </xf>
    <xf numFmtId="0" fontId="14" fillId="34" borderId="14" xfId="0" applyFont="1" applyFill="1" applyBorder="1" applyAlignment="1" applyProtection="1">
      <alignment/>
      <protection/>
    </xf>
    <xf numFmtId="0" fontId="18" fillId="1" borderId="22" xfId="0" applyFont="1" applyFill="1" applyBorder="1" applyAlignment="1">
      <alignment horizontal="center" vertical="center"/>
    </xf>
    <xf numFmtId="21" fontId="6" fillId="0" borderId="62" xfId="0" applyNumberFormat="1" applyFont="1" applyFill="1" applyBorder="1" applyAlignment="1">
      <alignment horizontal="center"/>
    </xf>
    <xf numFmtId="21" fontId="6" fillId="0" borderId="69" xfId="0" applyNumberFormat="1" applyFont="1" applyFill="1" applyBorder="1" applyAlignment="1">
      <alignment horizontal="center"/>
    </xf>
    <xf numFmtId="21" fontId="6" fillId="0" borderId="66" xfId="0" applyNumberFormat="1" applyFont="1" applyFill="1" applyBorder="1" applyAlignment="1">
      <alignment horizontal="center"/>
    </xf>
    <xf numFmtId="21" fontId="6" fillId="0" borderId="75" xfId="0" applyNumberFormat="1" applyFont="1" applyFill="1" applyBorder="1" applyAlignment="1">
      <alignment horizontal="center"/>
    </xf>
    <xf numFmtId="0" fontId="7" fillId="0" borderId="25" xfId="0" applyNumberFormat="1" applyFont="1" applyFill="1" applyBorder="1" applyAlignment="1">
      <alignment/>
    </xf>
    <xf numFmtId="180" fontId="6" fillId="0" borderId="49" xfId="0" applyNumberFormat="1" applyFont="1" applyFill="1" applyBorder="1" applyAlignment="1">
      <alignment horizontal="left"/>
    </xf>
    <xf numFmtId="185" fontId="0" fillId="34" borderId="14" xfId="0" applyNumberFormat="1" applyFill="1" applyBorder="1" applyAlignment="1" applyProtection="1">
      <alignment/>
      <protection/>
    </xf>
    <xf numFmtId="185" fontId="11" fillId="0" borderId="14" xfId="0" applyNumberFormat="1" applyFont="1" applyFill="1" applyBorder="1" applyAlignment="1">
      <alignment/>
    </xf>
    <xf numFmtId="179" fontId="0" fillId="34" borderId="14" xfId="0" applyNumberFormat="1" applyFill="1" applyBorder="1" applyAlignment="1">
      <alignment/>
    </xf>
    <xf numFmtId="179" fontId="0" fillId="34" borderId="14" xfId="0" applyNumberFormat="1" applyFill="1" applyBorder="1" applyAlignment="1">
      <alignment wrapText="1"/>
    </xf>
    <xf numFmtId="179" fontId="11" fillId="0" borderId="14" xfId="0" applyNumberFormat="1" applyFont="1" applyFill="1" applyBorder="1" applyAlignment="1">
      <alignment/>
    </xf>
    <xf numFmtId="0" fontId="88" fillId="35" borderId="14" xfId="0" applyFont="1" applyFill="1" applyBorder="1" applyAlignment="1" applyProtection="1">
      <alignment horizontal="left" indent="1"/>
      <protection/>
    </xf>
    <xf numFmtId="0" fontId="0" fillId="36" borderId="14" xfId="0" applyFill="1" applyBorder="1" applyAlignment="1">
      <alignment/>
    </xf>
    <xf numFmtId="0" fontId="14" fillId="36" borderId="14" xfId="0" applyFont="1" applyFill="1" applyBorder="1" applyAlignment="1" applyProtection="1">
      <alignment horizontal="left" indent="1"/>
      <protection/>
    </xf>
    <xf numFmtId="185" fontId="0" fillId="36" borderId="14" xfId="0" applyNumberFormat="1" applyFill="1" applyBorder="1" applyAlignment="1" applyProtection="1">
      <alignment/>
      <protection/>
    </xf>
    <xf numFmtId="179" fontId="0" fillId="36" borderId="14" xfId="0" applyNumberFormat="1" applyFill="1" applyBorder="1" applyAlignment="1">
      <alignment/>
    </xf>
    <xf numFmtId="0" fontId="14" fillId="37" borderId="14" xfId="0" applyFont="1" applyFill="1" applyBorder="1" applyAlignment="1" applyProtection="1">
      <alignment/>
      <protection/>
    </xf>
    <xf numFmtId="0" fontId="0" fillId="37" borderId="14" xfId="0" applyFont="1" applyFill="1" applyBorder="1" applyAlignment="1" applyProtection="1">
      <alignment horizontal="left" indent="1"/>
      <protection/>
    </xf>
    <xf numFmtId="185" fontId="0" fillId="37" borderId="14" xfId="0" applyNumberFormat="1" applyFill="1" applyBorder="1" applyAlignment="1" applyProtection="1">
      <alignment/>
      <protection/>
    </xf>
    <xf numFmtId="179" fontId="0" fillId="37" borderId="14" xfId="0" applyNumberFormat="1" applyFill="1" applyBorder="1" applyAlignment="1">
      <alignment/>
    </xf>
    <xf numFmtId="0" fontId="14" fillId="36" borderId="14" xfId="0" applyFont="1" applyFill="1" applyBorder="1" applyAlignment="1" applyProtection="1">
      <alignment/>
      <protection/>
    </xf>
    <xf numFmtId="0" fontId="0" fillId="36" borderId="14" xfId="0" applyFont="1" applyFill="1" applyBorder="1" applyAlignment="1" applyProtection="1">
      <alignment horizontal="left" indent="1"/>
      <protection/>
    </xf>
    <xf numFmtId="176" fontId="6" fillId="0" borderId="11" xfId="0" applyNumberFormat="1" applyFont="1" applyFill="1" applyBorder="1" applyAlignment="1">
      <alignment horizontal="center"/>
    </xf>
    <xf numFmtId="179" fontId="6" fillId="0" borderId="10" xfId="0" applyNumberFormat="1" applyFont="1" applyBorder="1" applyAlignment="1">
      <alignment horizontal="right"/>
    </xf>
    <xf numFmtId="180" fontId="6" fillId="0" borderId="49" xfId="0" applyNumberFormat="1" applyFont="1" applyFill="1" applyBorder="1" applyAlignment="1">
      <alignment horizontal="left" vertical="center"/>
    </xf>
    <xf numFmtId="180" fontId="6" fillId="0" borderId="50" xfId="0" applyNumberFormat="1" applyFont="1" applyFill="1" applyBorder="1" applyAlignment="1">
      <alignment horizontal="left" vertical="center"/>
    </xf>
    <xf numFmtId="180" fontId="6" fillId="0" borderId="51" xfId="0" applyNumberFormat="1" applyFont="1" applyFill="1" applyBorder="1" applyAlignment="1">
      <alignment horizontal="left" vertical="center"/>
    </xf>
    <xf numFmtId="0" fontId="27" fillId="33" borderId="14" xfId="0" applyFont="1" applyFill="1" applyBorder="1" applyAlignment="1">
      <alignment/>
    </xf>
    <xf numFmtId="0" fontId="27" fillId="33" borderId="14" xfId="0" applyFont="1" applyFill="1" applyBorder="1" applyAlignment="1" applyProtection="1">
      <alignment/>
      <protection/>
    </xf>
    <xf numFmtId="0" fontId="89" fillId="33" borderId="14" xfId="0" applyFont="1" applyFill="1" applyBorder="1" applyAlignment="1" applyProtection="1">
      <alignment horizontal="left" indent="1"/>
      <protection/>
    </xf>
    <xf numFmtId="185" fontId="89" fillId="33" borderId="14" xfId="0" applyNumberFormat="1" applyFont="1" applyFill="1" applyBorder="1" applyAlignment="1" applyProtection="1">
      <alignment/>
      <protection/>
    </xf>
    <xf numFmtId="179" fontId="89" fillId="33" borderId="14" xfId="0" applyNumberFormat="1" applyFont="1" applyFill="1" applyBorder="1" applyAlignment="1">
      <alignment/>
    </xf>
    <xf numFmtId="0" fontId="89" fillId="35" borderId="14" xfId="0" applyFont="1" applyFill="1" applyBorder="1" applyAlignment="1">
      <alignment/>
    </xf>
    <xf numFmtId="0" fontId="6" fillId="35" borderId="14" xfId="0" applyFont="1" applyFill="1" applyBorder="1" applyAlignment="1" applyProtection="1">
      <alignment horizontal="left" indent="1"/>
      <protection/>
    </xf>
    <xf numFmtId="185" fontId="89" fillId="35" borderId="14" xfId="0" applyNumberFormat="1" applyFont="1" applyFill="1" applyBorder="1" applyAlignment="1" applyProtection="1">
      <alignment/>
      <protection/>
    </xf>
    <xf numFmtId="179" fontId="89" fillId="35" borderId="14" xfId="0" applyNumberFormat="1" applyFont="1" applyFill="1" applyBorder="1" applyAlignment="1">
      <alignment/>
    </xf>
    <xf numFmtId="0" fontId="6" fillId="33" borderId="14" xfId="0" applyFont="1" applyFill="1" applyBorder="1" applyAlignment="1" applyProtection="1">
      <alignment horizontal="left" indent="1"/>
      <protection/>
    </xf>
    <xf numFmtId="0" fontId="27" fillId="35" borderId="14" xfId="0" applyFont="1" applyFill="1" applyBorder="1" applyAlignment="1" applyProtection="1">
      <alignment/>
      <protection/>
    </xf>
    <xf numFmtId="0" fontId="89" fillId="35" borderId="14" xfId="0" applyFont="1" applyFill="1" applyBorder="1" applyAlignment="1" applyProtection="1">
      <alignment horizontal="left" indent="1"/>
      <protection/>
    </xf>
    <xf numFmtId="0" fontId="27" fillId="35" borderId="14" xfId="0" applyFont="1" applyFill="1" applyBorder="1" applyAlignment="1" applyProtection="1">
      <alignment horizontal="left" indent="1"/>
      <protection/>
    </xf>
    <xf numFmtId="0" fontId="6" fillId="38" borderId="14" xfId="0" applyFont="1" applyFill="1" applyBorder="1" applyAlignment="1" applyProtection="1">
      <alignment/>
      <protection/>
    </xf>
    <xf numFmtId="0" fontId="89" fillId="38" borderId="14" xfId="0" applyFont="1" applyFill="1" applyBorder="1" applyAlignment="1" applyProtection="1">
      <alignment horizontal="left" indent="1"/>
      <protection/>
    </xf>
    <xf numFmtId="185" fontId="89" fillId="38" borderId="14" xfId="0" applyNumberFormat="1" applyFont="1" applyFill="1" applyBorder="1" applyAlignment="1" applyProtection="1">
      <alignment/>
      <protection/>
    </xf>
    <xf numFmtId="179" fontId="89" fillId="38" borderId="14" xfId="0" applyNumberFormat="1" applyFont="1" applyFill="1" applyBorder="1" applyAlignment="1">
      <alignment/>
    </xf>
    <xf numFmtId="0" fontId="89" fillId="33" borderId="14" xfId="0" applyFont="1" applyFill="1" applyBorder="1" applyAlignment="1">
      <alignment/>
    </xf>
    <xf numFmtId="176" fontId="27" fillId="35" borderId="14" xfId="0" applyNumberFormat="1" applyFont="1" applyFill="1" applyBorder="1" applyAlignment="1" applyProtection="1">
      <alignment/>
      <protection/>
    </xf>
    <xf numFmtId="0" fontId="27" fillId="36" borderId="14" xfId="0" applyFont="1" applyFill="1" applyBorder="1" applyAlignment="1" applyProtection="1">
      <alignment/>
      <protection/>
    </xf>
    <xf numFmtId="0" fontId="89" fillId="36" borderId="14" xfId="0" applyFont="1" applyFill="1" applyBorder="1" applyAlignment="1" applyProtection="1">
      <alignment horizontal="left" indent="1"/>
      <protection/>
    </xf>
    <xf numFmtId="185" fontId="89" fillId="36" borderId="14" xfId="0" applyNumberFormat="1" applyFont="1" applyFill="1" applyBorder="1" applyAlignment="1" applyProtection="1">
      <alignment/>
      <protection/>
    </xf>
    <xf numFmtId="179" fontId="89" fillId="36" borderId="14" xfId="0" applyNumberFormat="1" applyFont="1" applyFill="1" applyBorder="1" applyAlignment="1">
      <alignment/>
    </xf>
    <xf numFmtId="0" fontId="8" fillId="0" borderId="14" xfId="0" applyFont="1" applyBorder="1" applyAlignment="1">
      <alignment/>
    </xf>
    <xf numFmtId="180" fontId="6" fillId="0" borderId="50" xfId="0" applyNumberFormat="1" applyFont="1" applyFill="1" applyBorder="1" applyAlignment="1">
      <alignment horizontal="left"/>
    </xf>
    <xf numFmtId="180" fontId="6" fillId="0" borderId="51" xfId="0" applyNumberFormat="1" applyFont="1" applyFill="1" applyBorder="1" applyAlignment="1">
      <alignment horizontal="left"/>
    </xf>
    <xf numFmtId="179" fontId="6" fillId="0" borderId="11" xfId="0" applyNumberFormat="1" applyFont="1" applyBorder="1" applyAlignment="1" quotePrefix="1">
      <alignment/>
    </xf>
    <xf numFmtId="0" fontId="74" fillId="0" borderId="0" xfId="0" applyFont="1" applyAlignment="1">
      <alignment/>
    </xf>
    <xf numFmtId="190" fontId="0" fillId="0" borderId="0" xfId="0" applyNumberFormat="1" applyAlignment="1">
      <alignment vertical="center"/>
    </xf>
    <xf numFmtId="182" fontId="16" fillId="0" borderId="34" xfId="0" applyNumberFormat="1" applyFont="1" applyFill="1" applyBorder="1" applyAlignment="1">
      <alignment horizontal="center" vertical="center"/>
    </xf>
    <xf numFmtId="0" fontId="16" fillId="0" borderId="33" xfId="0" applyFont="1" applyFill="1" applyBorder="1" applyAlignment="1">
      <alignment horizontal="center" vertical="center"/>
    </xf>
    <xf numFmtId="0" fontId="29" fillId="0" borderId="0" xfId="0" applyFont="1" applyBorder="1" applyAlignment="1">
      <alignment horizontal="right" vertical="center"/>
    </xf>
    <xf numFmtId="31" fontId="30" fillId="0" borderId="0" xfId="0" applyNumberFormat="1" applyFont="1" applyBorder="1" applyAlignment="1">
      <alignment horizontal="right" vertical="center"/>
    </xf>
    <xf numFmtId="0" fontId="90" fillId="0" borderId="0" xfId="0" applyFont="1" applyAlignment="1">
      <alignment vertical="center"/>
    </xf>
    <xf numFmtId="0" fontId="29" fillId="0" borderId="0" xfId="0" applyFont="1" applyBorder="1" applyAlignment="1">
      <alignment horizontal="center" vertical="center"/>
    </xf>
    <xf numFmtId="0" fontId="29" fillId="0" borderId="93" xfId="0" applyFont="1" applyBorder="1" applyAlignment="1">
      <alignment horizontal="center" vertical="center"/>
    </xf>
    <xf numFmtId="31" fontId="30" fillId="0" borderId="93" xfId="0" applyNumberFormat="1" applyFont="1" applyBorder="1" applyAlignment="1">
      <alignment horizontal="center" vertical="center"/>
    </xf>
    <xf numFmtId="0" fontId="90" fillId="0" borderId="0" xfId="0" applyFont="1" applyAlignment="1">
      <alignment horizontal="center" vertical="center"/>
    </xf>
    <xf numFmtId="0" fontId="90" fillId="0" borderId="14" xfId="0" applyFont="1" applyBorder="1" applyAlignment="1">
      <alignment horizontal="center" vertical="center"/>
    </xf>
    <xf numFmtId="0" fontId="90" fillId="33" borderId="64" xfId="0" applyFont="1" applyFill="1" applyBorder="1" applyAlignment="1">
      <alignment horizontal="right" vertical="center"/>
    </xf>
    <xf numFmtId="0" fontId="90" fillId="33" borderId="94" xfId="0" applyFont="1" applyFill="1" applyBorder="1" applyAlignment="1">
      <alignment horizontal="left" vertical="center"/>
    </xf>
    <xf numFmtId="0" fontId="90" fillId="0" borderId="14" xfId="0" applyFont="1" applyBorder="1" applyAlignment="1">
      <alignment vertical="center"/>
    </xf>
    <xf numFmtId="0" fontId="90" fillId="0" borderId="14" xfId="0" applyFont="1" applyBorder="1" applyAlignment="1">
      <alignment horizontal="left" vertical="center"/>
    </xf>
    <xf numFmtId="0" fontId="90" fillId="33" borderId="14" xfId="0" applyFont="1" applyFill="1" applyBorder="1" applyAlignment="1">
      <alignment horizontal="left" vertical="center"/>
    </xf>
    <xf numFmtId="0" fontId="90" fillId="39" borderId="0" xfId="0" applyFont="1" applyFill="1" applyAlignment="1">
      <alignment horizontal="left" vertical="center"/>
    </xf>
    <xf numFmtId="0" fontId="90" fillId="39" borderId="14" xfId="0" applyFont="1" applyFill="1" applyBorder="1" applyAlignment="1">
      <alignment horizontal="left" vertical="center"/>
    </xf>
    <xf numFmtId="0" fontId="90" fillId="0" borderId="0" xfId="0" applyFont="1" applyAlignment="1">
      <alignment horizontal="right" vertical="center"/>
    </xf>
    <xf numFmtId="0" fontId="30" fillId="0" borderId="0" xfId="0" applyFont="1" applyBorder="1" applyAlignment="1">
      <alignment horizontal="left" vertical="center"/>
    </xf>
    <xf numFmtId="0" fontId="90" fillId="0" borderId="0" xfId="0" applyFont="1" applyAlignment="1">
      <alignment horizontal="left" vertical="center"/>
    </xf>
    <xf numFmtId="0" fontId="2" fillId="33" borderId="95" xfId="0" applyFont="1" applyFill="1" applyBorder="1" applyAlignment="1">
      <alignment vertical="top" wrapText="1"/>
    </xf>
    <xf numFmtId="0" fontId="2" fillId="33" borderId="25" xfId="0" applyFont="1" applyFill="1" applyBorder="1" applyAlignment="1">
      <alignment vertical="top" wrapText="1"/>
    </xf>
    <xf numFmtId="0" fontId="2" fillId="33" borderId="85" xfId="0" applyFont="1" applyFill="1" applyBorder="1" applyAlignment="1">
      <alignment vertical="top" wrapText="1"/>
    </xf>
    <xf numFmtId="0" fontId="7" fillId="0" borderId="12" xfId="0" applyFont="1" applyFill="1" applyBorder="1" applyAlignment="1">
      <alignment horizontal="center"/>
    </xf>
    <xf numFmtId="21" fontId="8" fillId="0" borderId="75" xfId="0" applyNumberFormat="1" applyFont="1" applyFill="1" applyBorder="1" applyAlignment="1">
      <alignment vertical="center"/>
    </xf>
    <xf numFmtId="180" fontId="8" fillId="0" borderId="51" xfId="0" applyNumberFormat="1" applyFont="1" applyFill="1" applyBorder="1" applyAlignment="1">
      <alignment vertical="center"/>
    </xf>
    <xf numFmtId="180" fontId="8" fillId="0" borderId="49" xfId="0" applyNumberFormat="1" applyFont="1" applyFill="1" applyBorder="1" applyAlignment="1">
      <alignment vertical="center"/>
    </xf>
    <xf numFmtId="21" fontId="8" fillId="0" borderId="69" xfId="0" applyNumberFormat="1" applyFont="1" applyFill="1" applyBorder="1" applyAlignment="1">
      <alignment horizontal="left" vertical="top"/>
    </xf>
    <xf numFmtId="179" fontId="6" fillId="0" borderId="12" xfId="0" applyNumberFormat="1" applyFont="1" applyBorder="1" applyAlignment="1">
      <alignment horizontal="right"/>
    </xf>
    <xf numFmtId="179" fontId="86" fillId="0" borderId="10" xfId="0" applyNumberFormat="1" applyFont="1" applyBorder="1" applyAlignment="1" quotePrefix="1">
      <alignment horizontal="right"/>
    </xf>
    <xf numFmtId="176" fontId="6" fillId="0" borderId="10" xfId="0" applyNumberFormat="1" applyFont="1" applyFill="1" applyBorder="1" applyAlignment="1">
      <alignment horizontal="right" vertical="center"/>
    </xf>
    <xf numFmtId="176" fontId="6" fillId="0" borderId="24" xfId="0" applyNumberFormat="1" applyFont="1" applyFill="1" applyBorder="1" applyAlignment="1">
      <alignment/>
    </xf>
    <xf numFmtId="178" fontId="6" fillId="0" borderId="24" xfId="0" applyNumberFormat="1" applyFont="1" applyFill="1" applyBorder="1" applyAlignment="1">
      <alignment horizontal="right"/>
    </xf>
    <xf numFmtId="176" fontId="6" fillId="0" borderId="24" xfId="0" applyNumberFormat="1" applyFont="1" applyFill="1" applyBorder="1" applyAlignment="1">
      <alignment horizontal="right"/>
    </xf>
    <xf numFmtId="21" fontId="6" fillId="0" borderId="24" xfId="0" applyNumberFormat="1" applyFont="1" applyFill="1" applyBorder="1" applyAlignment="1">
      <alignment horizontal="center"/>
    </xf>
    <xf numFmtId="179" fontId="6" fillId="0" borderId="24" xfId="0" applyNumberFormat="1" applyFont="1" applyFill="1" applyBorder="1" applyAlignment="1">
      <alignment/>
    </xf>
    <xf numFmtId="177" fontId="6" fillId="0" borderId="24" xfId="0" applyNumberFormat="1" applyFont="1" applyFill="1" applyBorder="1" applyAlignment="1">
      <alignment/>
    </xf>
    <xf numFmtId="181" fontId="6" fillId="0" borderId="24" xfId="0" applyNumberFormat="1" applyFont="1" applyFill="1" applyBorder="1" applyAlignment="1">
      <alignment horizontal="right" vertical="top"/>
    </xf>
    <xf numFmtId="0" fontId="91" fillId="0" borderId="14" xfId="0" applyFont="1" applyBorder="1" applyAlignment="1">
      <alignment horizontal="left" vertical="center"/>
    </xf>
    <xf numFmtId="0" fontId="8" fillId="0" borderId="48" xfId="0" applyNumberFormat="1" applyFont="1" applyBorder="1" applyAlignment="1">
      <alignment vertical="center" shrinkToFit="1"/>
    </xf>
    <xf numFmtId="179" fontId="86" fillId="0" borderId="11" xfId="0" applyNumberFormat="1" applyFont="1" applyBorder="1" applyAlignment="1">
      <alignment horizontal="right"/>
    </xf>
    <xf numFmtId="179" fontId="6" fillId="0" borderId="12" xfId="0" applyNumberFormat="1" applyFont="1" applyBorder="1" applyAlignment="1" quotePrefix="1">
      <alignment/>
    </xf>
    <xf numFmtId="179" fontId="86" fillId="0" borderId="12" xfId="0" applyNumberFormat="1" applyFont="1" applyBorder="1" applyAlignment="1" quotePrefix="1">
      <alignment horizontal="right"/>
    </xf>
    <xf numFmtId="176" fontId="6" fillId="0" borderId="13" xfId="0" applyNumberFormat="1" applyFont="1" applyFill="1" applyBorder="1" applyAlignment="1">
      <alignment horizontal="right" vertical="center"/>
    </xf>
    <xf numFmtId="179" fontId="87" fillId="0" borderId="12" xfId="0" applyNumberFormat="1" applyFont="1" applyBorder="1" applyAlignment="1" quotePrefix="1">
      <alignment/>
    </xf>
    <xf numFmtId="0" fontId="5" fillId="0" borderId="0" xfId="0" applyNumberFormat="1" applyFont="1" applyFill="1" applyAlignment="1">
      <alignment horizontal="right" vertical="top"/>
    </xf>
    <xf numFmtId="0" fontId="5" fillId="0" borderId="0" xfId="0" applyFont="1" applyAlignment="1">
      <alignment horizontal="center" wrapText="1"/>
    </xf>
    <xf numFmtId="0" fontId="5" fillId="0" borderId="0" xfId="0" applyFont="1" applyAlignment="1">
      <alignment horizontal="center"/>
    </xf>
    <xf numFmtId="0" fontId="2" fillId="33" borderId="0" xfId="0" applyFont="1" applyFill="1" applyBorder="1" applyAlignment="1">
      <alignment horizontal="left" vertical="top" wrapText="1"/>
    </xf>
    <xf numFmtId="0" fontId="2" fillId="33" borderId="96" xfId="0" applyFont="1" applyFill="1" applyBorder="1" applyAlignment="1">
      <alignment horizontal="left" vertical="top" wrapText="1"/>
    </xf>
    <xf numFmtId="56" fontId="2" fillId="33" borderId="97" xfId="0" applyNumberFormat="1" applyFont="1" applyFill="1" applyBorder="1" applyAlignment="1">
      <alignment horizontal="left" vertical="top" wrapText="1"/>
    </xf>
    <xf numFmtId="0" fontId="2" fillId="33" borderId="98" xfId="0" applyFont="1" applyFill="1" applyBorder="1" applyAlignment="1">
      <alignment horizontal="left" vertical="top" wrapText="1"/>
    </xf>
    <xf numFmtId="0" fontId="16" fillId="0" borderId="99" xfId="0" applyFont="1" applyFill="1" applyBorder="1" applyAlignment="1">
      <alignment horizontal="center"/>
    </xf>
    <xf numFmtId="0" fontId="16" fillId="0" borderId="100" xfId="0" applyFont="1" applyFill="1" applyBorder="1" applyAlignment="1">
      <alignment horizontal="center"/>
    </xf>
    <xf numFmtId="0" fontId="9" fillId="0" borderId="101" xfId="0" applyFont="1" applyFill="1" applyBorder="1" applyAlignment="1">
      <alignment horizontal="left" vertical="top" wrapText="1"/>
    </xf>
    <xf numFmtId="0" fontId="9" fillId="0" borderId="97" xfId="0" applyFont="1" applyFill="1" applyBorder="1" applyAlignment="1">
      <alignment horizontal="left" vertical="top" wrapText="1"/>
    </xf>
    <xf numFmtId="0" fontId="9" fillId="0" borderId="98" xfId="0" applyFont="1" applyFill="1" applyBorder="1" applyAlignment="1">
      <alignment horizontal="left" vertical="top" wrapText="1"/>
    </xf>
    <xf numFmtId="0" fontId="9" fillId="0" borderId="10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6" xfId="0" applyFont="1" applyFill="1" applyBorder="1" applyAlignment="1">
      <alignment horizontal="left" vertical="top" wrapText="1"/>
    </xf>
    <xf numFmtId="0" fontId="9" fillId="0" borderId="103" xfId="0" applyFont="1" applyFill="1" applyBorder="1" applyAlignment="1">
      <alignment horizontal="left" vertical="top" wrapText="1"/>
    </xf>
    <xf numFmtId="0" fontId="9" fillId="0" borderId="93" xfId="0" applyFont="1" applyFill="1" applyBorder="1" applyAlignment="1">
      <alignment horizontal="left" vertical="top" wrapText="1"/>
    </xf>
    <xf numFmtId="0" fontId="9" fillId="0" borderId="104" xfId="0" applyFont="1" applyFill="1" applyBorder="1" applyAlignment="1">
      <alignment horizontal="left" vertical="top" wrapText="1"/>
    </xf>
    <xf numFmtId="0" fontId="31" fillId="0" borderId="95" xfId="0" applyFont="1" applyFill="1" applyBorder="1" applyAlignment="1">
      <alignment horizontal="left" vertical="top" wrapText="1"/>
    </xf>
    <xf numFmtId="0" fontId="32" fillId="0" borderId="97" xfId="0" applyFont="1" applyFill="1" applyBorder="1" applyAlignment="1">
      <alignment horizontal="left" vertical="top" wrapText="1"/>
    </xf>
    <xf numFmtId="0" fontId="32" fillId="0" borderId="105" xfId="0" applyFont="1" applyFill="1" applyBorder="1" applyAlignment="1">
      <alignment horizontal="left" vertical="top" wrapText="1"/>
    </xf>
    <xf numFmtId="0" fontId="32" fillId="0" borderId="2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26" xfId="0" applyFont="1" applyFill="1" applyBorder="1" applyAlignment="1">
      <alignment horizontal="left" vertical="top" wrapText="1"/>
    </xf>
    <xf numFmtId="0" fontId="32" fillId="0" borderId="85" xfId="0" applyFont="1" applyFill="1" applyBorder="1" applyAlignment="1">
      <alignment horizontal="left" vertical="top" wrapText="1"/>
    </xf>
    <xf numFmtId="0" fontId="32" fillId="0" borderId="35" xfId="0" applyFont="1" applyFill="1" applyBorder="1" applyAlignment="1">
      <alignment horizontal="left" vertical="top" wrapText="1"/>
    </xf>
    <xf numFmtId="0" fontId="32" fillId="0" borderId="106" xfId="0" applyFont="1" applyFill="1" applyBorder="1" applyAlignment="1">
      <alignment horizontal="left" vertical="top" wrapText="1"/>
    </xf>
    <xf numFmtId="0" fontId="8" fillId="0" borderId="101" xfId="0" applyFont="1" applyFill="1" applyBorder="1" applyAlignment="1">
      <alignment horizontal="left" vertical="top" wrapText="1"/>
    </xf>
    <xf numFmtId="0" fontId="8" fillId="0" borderId="97" xfId="0" applyFont="1" applyFill="1" applyBorder="1" applyAlignment="1">
      <alignment horizontal="left" vertical="top" wrapText="1"/>
    </xf>
    <xf numFmtId="0" fontId="8" fillId="0" borderId="98" xfId="0" applyFont="1" applyFill="1" applyBorder="1" applyAlignment="1">
      <alignment horizontal="left" vertical="top" wrapText="1"/>
    </xf>
    <xf numFmtId="0" fontId="8" fillId="0" borderId="10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6" xfId="0" applyFont="1" applyFill="1" applyBorder="1" applyAlignment="1">
      <alignment horizontal="left" vertical="top" wrapText="1"/>
    </xf>
    <xf numFmtId="0" fontId="8" fillId="0" borderId="107"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108" xfId="0" applyFont="1" applyFill="1" applyBorder="1" applyAlignment="1">
      <alignment horizontal="left" vertical="top" wrapText="1"/>
    </xf>
    <xf numFmtId="0" fontId="2" fillId="33" borderId="97"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109" xfId="0" applyFont="1" applyFill="1" applyBorder="1" applyAlignment="1">
      <alignment horizontal="left" vertical="top" wrapText="1"/>
    </xf>
    <xf numFmtId="0" fontId="2" fillId="33" borderId="93" xfId="0" applyFont="1" applyFill="1" applyBorder="1" applyAlignment="1">
      <alignment horizontal="left" vertical="top" wrapText="1"/>
    </xf>
    <xf numFmtId="0" fontId="2" fillId="33" borderId="104" xfId="0" applyFont="1" applyFill="1" applyBorder="1" applyAlignment="1">
      <alignment horizontal="left" vertical="top" wrapText="1"/>
    </xf>
    <xf numFmtId="0" fontId="2" fillId="33" borderId="35" xfId="0" applyFont="1" applyFill="1" applyBorder="1" applyAlignment="1">
      <alignment horizontal="center" vertical="top" wrapText="1"/>
    </xf>
    <xf numFmtId="0" fontId="2" fillId="33" borderId="108"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96" xfId="0" applyFont="1" applyFill="1" applyBorder="1" applyAlignment="1">
      <alignment horizontal="center" vertical="top" wrapText="1"/>
    </xf>
    <xf numFmtId="176" fontId="28" fillId="0" borderId="25" xfId="0" applyNumberFormat="1" applyFont="1" applyFill="1" applyBorder="1" applyAlignment="1">
      <alignment horizontal="left" vertical="top" wrapText="1"/>
    </xf>
    <xf numFmtId="176" fontId="28" fillId="0" borderId="0" xfId="0" applyNumberFormat="1" applyFont="1" applyFill="1" applyBorder="1" applyAlignment="1">
      <alignment horizontal="left" vertical="top" wrapText="1"/>
    </xf>
    <xf numFmtId="176" fontId="28" fillId="0" borderId="26" xfId="0" applyNumberFormat="1" applyFont="1" applyFill="1" applyBorder="1" applyAlignment="1">
      <alignment horizontal="left" vertical="top" wrapText="1"/>
    </xf>
    <xf numFmtId="176" fontId="28" fillId="0" borderId="109" xfId="0" applyNumberFormat="1" applyFont="1" applyFill="1" applyBorder="1" applyAlignment="1">
      <alignment horizontal="left" vertical="top" wrapText="1"/>
    </xf>
    <xf numFmtId="176" fontId="28" fillId="0" borderId="93" xfId="0" applyNumberFormat="1" applyFont="1" applyFill="1" applyBorder="1" applyAlignment="1">
      <alignment horizontal="left" vertical="top" wrapText="1"/>
    </xf>
    <xf numFmtId="176" fontId="28" fillId="0" borderId="110" xfId="0" applyNumberFormat="1" applyFont="1" applyFill="1" applyBorder="1" applyAlignment="1">
      <alignment horizontal="left" vertical="top" wrapText="1"/>
    </xf>
    <xf numFmtId="0" fontId="33" fillId="0" borderId="95" xfId="0" applyFont="1" applyFill="1" applyBorder="1" applyAlignment="1">
      <alignment horizontal="left" vertical="top" wrapText="1"/>
    </xf>
    <xf numFmtId="0" fontId="33" fillId="0" borderId="97" xfId="0" applyFont="1" applyFill="1" applyBorder="1" applyAlignment="1">
      <alignment horizontal="left" vertical="top" wrapText="1"/>
    </xf>
    <xf numFmtId="0" fontId="33" fillId="0" borderId="105" xfId="0" applyFont="1" applyFill="1" applyBorder="1" applyAlignment="1">
      <alignment horizontal="left" vertical="top" wrapText="1"/>
    </xf>
    <xf numFmtId="0" fontId="33" fillId="0" borderId="2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26" xfId="0" applyFont="1" applyFill="1" applyBorder="1" applyAlignment="1">
      <alignment horizontal="left" vertical="top" wrapText="1"/>
    </xf>
    <xf numFmtId="0" fontId="33" fillId="0" borderId="85" xfId="0" applyFont="1" applyFill="1" applyBorder="1" applyAlignment="1">
      <alignment horizontal="left" vertical="top" wrapText="1"/>
    </xf>
    <xf numFmtId="0" fontId="33" fillId="0" borderId="35" xfId="0" applyFont="1" applyFill="1" applyBorder="1" applyAlignment="1">
      <alignment horizontal="left" vertical="top" wrapText="1"/>
    </xf>
    <xf numFmtId="0" fontId="33" fillId="0" borderId="106" xfId="0" applyFont="1" applyFill="1" applyBorder="1" applyAlignment="1">
      <alignment horizontal="left" vertical="top" wrapText="1"/>
    </xf>
    <xf numFmtId="0" fontId="34" fillId="0" borderId="97" xfId="0" applyFont="1" applyFill="1" applyBorder="1" applyAlignment="1">
      <alignment horizontal="left" vertical="top" wrapText="1"/>
    </xf>
    <xf numFmtId="0" fontId="34" fillId="0" borderId="105" xfId="0" applyFont="1" applyFill="1" applyBorder="1" applyAlignment="1">
      <alignment horizontal="left" vertical="top" wrapText="1"/>
    </xf>
    <xf numFmtId="0" fontId="34" fillId="0" borderId="2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6" xfId="0" applyFont="1" applyFill="1" applyBorder="1" applyAlignment="1">
      <alignment horizontal="left" vertical="top" wrapText="1"/>
    </xf>
    <xf numFmtId="0" fontId="34" fillId="0" borderId="85" xfId="0" applyFont="1" applyFill="1" applyBorder="1" applyAlignment="1">
      <alignment horizontal="left" vertical="top" wrapText="1"/>
    </xf>
    <xf numFmtId="0" fontId="34" fillId="0" borderId="35" xfId="0" applyFont="1" applyFill="1" applyBorder="1" applyAlignment="1">
      <alignment horizontal="left" vertical="top" wrapText="1"/>
    </xf>
    <xf numFmtId="0" fontId="34" fillId="0" borderId="106" xfId="0" applyFont="1" applyFill="1" applyBorder="1" applyAlignment="1">
      <alignment horizontal="left" vertical="top" wrapText="1"/>
    </xf>
    <xf numFmtId="0" fontId="2" fillId="33" borderId="97" xfId="0" applyFont="1" applyFill="1" applyBorder="1" applyAlignment="1">
      <alignment horizontal="center" vertical="top" wrapText="1"/>
    </xf>
    <xf numFmtId="0" fontId="2" fillId="33" borderId="98" xfId="0" applyFont="1" applyFill="1" applyBorder="1" applyAlignment="1">
      <alignment horizontal="center" vertical="top" wrapText="1"/>
    </xf>
    <xf numFmtId="0" fontId="6" fillId="0" borderId="95"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105"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85"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106" xfId="0" applyFont="1" applyFill="1" applyBorder="1" applyAlignment="1">
      <alignment horizontal="left" vertical="top" wrapText="1"/>
    </xf>
    <xf numFmtId="0" fontId="28" fillId="0" borderId="97" xfId="0" applyFont="1" applyFill="1" applyBorder="1" applyAlignment="1">
      <alignment horizontal="left" vertical="top" wrapText="1"/>
    </xf>
    <xf numFmtId="0" fontId="28" fillId="0" borderId="105" xfId="0" applyFont="1" applyFill="1" applyBorder="1" applyAlignment="1">
      <alignment horizontal="left" vertical="top" wrapText="1"/>
    </xf>
    <xf numFmtId="0" fontId="28" fillId="0" borderId="2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26" xfId="0" applyFont="1" applyFill="1" applyBorder="1" applyAlignment="1">
      <alignment horizontal="left" vertical="top" wrapText="1"/>
    </xf>
    <xf numFmtId="0" fontId="28" fillId="0" borderId="85" xfId="0" applyFont="1" applyFill="1" applyBorder="1" applyAlignment="1">
      <alignment horizontal="left" vertical="top" wrapText="1"/>
    </xf>
    <xf numFmtId="0" fontId="28" fillId="0" borderId="35" xfId="0" applyFont="1" applyFill="1" applyBorder="1" applyAlignment="1">
      <alignment horizontal="left" vertical="top" wrapText="1"/>
    </xf>
    <xf numFmtId="0" fontId="28" fillId="0" borderId="106" xfId="0" applyFont="1" applyFill="1" applyBorder="1" applyAlignment="1">
      <alignment horizontal="left" vertical="top" wrapText="1"/>
    </xf>
    <xf numFmtId="0" fontId="20" fillId="0" borderId="0" xfId="0" applyFont="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0" borderId="33"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3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11" xfId="0" applyFont="1" applyBorder="1" applyAlignment="1">
      <alignment horizontal="center" vertical="center" textRotation="255"/>
    </xf>
    <xf numFmtId="0" fontId="8" fillId="0" borderId="64" xfId="0" applyFont="1" applyBorder="1" applyAlignment="1">
      <alignment horizontal="center" vertical="center" textRotation="255"/>
    </xf>
    <xf numFmtId="0" fontId="8" fillId="0" borderId="0" xfId="0" applyFont="1" applyBorder="1" applyAlignment="1">
      <alignment horizontal="right" vertical="center" shrinkToFit="1"/>
    </xf>
    <xf numFmtId="0" fontId="8" fillId="0" borderId="0" xfId="0" applyFont="1" applyBorder="1" applyAlignment="1">
      <alignment horizontal="left" shrinkToFit="1"/>
    </xf>
    <xf numFmtId="0" fontId="8" fillId="0" borderId="107" xfId="0" applyFont="1" applyBorder="1" applyAlignment="1">
      <alignment horizontal="center" vertical="center"/>
    </xf>
    <xf numFmtId="0" fontId="8" fillId="0" borderId="35" xfId="0" applyFont="1" applyBorder="1" applyAlignment="1">
      <alignment horizontal="center" vertical="center"/>
    </xf>
    <xf numFmtId="0" fontId="8" fillId="0" borderId="108" xfId="0" applyFont="1" applyBorder="1" applyAlignment="1">
      <alignment horizontal="center" vertical="center"/>
    </xf>
    <xf numFmtId="0" fontId="8" fillId="0" borderId="0" xfId="0" applyFont="1" applyAlignment="1">
      <alignment horizontal="center" shrinkToFit="1"/>
    </xf>
    <xf numFmtId="0" fontId="5" fillId="0" borderId="0" xfId="0" applyFont="1" applyAlignment="1">
      <alignment horizontal="center" vertical="center"/>
    </xf>
    <xf numFmtId="0" fontId="29" fillId="0" borderId="0" xfId="0" applyFont="1" applyBorder="1" applyAlignment="1">
      <alignment horizontal="right" vertical="center"/>
    </xf>
    <xf numFmtId="0" fontId="90" fillId="0" borderId="64" xfId="0" applyFont="1" applyBorder="1" applyAlignment="1">
      <alignment horizontal="center" vertical="center"/>
    </xf>
    <xf numFmtId="0" fontId="90" fillId="0" borderId="94" xfId="0" applyFont="1" applyBorder="1" applyAlignment="1">
      <alignment horizontal="center" vertical="center"/>
    </xf>
    <xf numFmtId="56" fontId="8" fillId="0" borderId="12" xfId="0" applyNumberFormat="1" applyFont="1" applyBorder="1" applyAlignment="1">
      <alignment horizontal="center" vertical="center" shrinkToFit="1"/>
    </xf>
    <xf numFmtId="0" fontId="8" fillId="0" borderId="12" xfId="0" applyFont="1" applyBorder="1" applyAlignment="1">
      <alignment horizontal="center" vertical="center" shrinkToFit="1"/>
    </xf>
    <xf numFmtId="0" fontId="20" fillId="0" borderId="0" xfId="0" applyFont="1" applyAlignment="1">
      <alignment horizontal="center"/>
    </xf>
    <xf numFmtId="0" fontId="23" fillId="0" borderId="93" xfId="0" applyFont="1" applyBorder="1" applyAlignment="1">
      <alignment horizontal="center" vertical="center"/>
    </xf>
    <xf numFmtId="14" fontId="8" fillId="0" borderId="0" xfId="0" applyNumberFormat="1" applyFont="1" applyBorder="1" applyAlignment="1">
      <alignment horizontal="center" vertical="center" shrinkToFit="1"/>
    </xf>
    <xf numFmtId="0" fontId="8" fillId="0" borderId="0" xfId="0" applyFont="1" applyBorder="1" applyAlignment="1">
      <alignment horizontal="center" vertical="center" shrinkToFit="1"/>
    </xf>
    <xf numFmtId="0" fontId="10" fillId="0" borderId="0" xfId="0" applyFont="1" applyAlignment="1">
      <alignment horizontal="center"/>
    </xf>
    <xf numFmtId="0" fontId="8" fillId="0" borderId="0" xfId="0" applyFont="1" applyBorder="1" applyAlignment="1">
      <alignment wrapText="1" shrinkToFit="1"/>
    </xf>
    <xf numFmtId="0" fontId="7" fillId="0" borderId="0" xfId="0" applyFont="1" applyBorder="1" applyAlignment="1">
      <alignment horizontal="left"/>
    </xf>
    <xf numFmtId="0" fontId="8" fillId="0" borderId="57" xfId="0" applyFont="1" applyBorder="1" applyAlignment="1">
      <alignment horizontal="lef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8</xdr:row>
      <xdr:rowOff>171450</xdr:rowOff>
    </xdr:from>
    <xdr:to>
      <xdr:col>3</xdr:col>
      <xdr:colOff>742950</xdr:colOff>
      <xdr:row>19</xdr:row>
      <xdr:rowOff>28575</xdr:rowOff>
    </xdr:to>
    <xdr:sp>
      <xdr:nvSpPr>
        <xdr:cNvPr id="1" name="テキスト ボックス 1"/>
        <xdr:cNvSpPr txBox="1">
          <a:spLocks noChangeArrowheads="1"/>
        </xdr:cNvSpPr>
      </xdr:nvSpPr>
      <xdr:spPr>
        <a:xfrm>
          <a:off x="1200150" y="1657350"/>
          <a:ext cx="457200" cy="184785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2000" b="1" i="0" u="none" baseline="0">
              <a:solidFill>
                <a:srgbClr val="000000"/>
              </a:solidFill>
            </a:rPr>
            <a:t>ノーレース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35</xdr:row>
      <xdr:rowOff>47625</xdr:rowOff>
    </xdr:from>
    <xdr:to>
      <xdr:col>3</xdr:col>
      <xdr:colOff>752475</xdr:colOff>
      <xdr:row>36</xdr:row>
      <xdr:rowOff>133350</xdr:rowOff>
    </xdr:to>
    <xdr:sp>
      <xdr:nvSpPr>
        <xdr:cNvPr id="1" name="Text Box 1"/>
        <xdr:cNvSpPr txBox="1">
          <a:spLocks noChangeArrowheads="1"/>
        </xdr:cNvSpPr>
      </xdr:nvSpPr>
      <xdr:spPr>
        <a:xfrm>
          <a:off x="1209675" y="6838950"/>
          <a:ext cx="514350" cy="276225"/>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14</xdr:col>
      <xdr:colOff>0</xdr:colOff>
      <xdr:row>11</xdr:row>
      <xdr:rowOff>0</xdr:rowOff>
    </xdr:from>
    <xdr:to>
      <xdr:col>14</xdr:col>
      <xdr:colOff>0</xdr:colOff>
      <xdr:row>12</xdr:row>
      <xdr:rowOff>0</xdr:rowOff>
    </xdr:to>
    <xdr:sp>
      <xdr:nvSpPr>
        <xdr:cNvPr id="2" name="テキスト 204"/>
        <xdr:cNvSpPr txBox="1">
          <a:spLocks noChangeArrowheads="1"/>
        </xdr:cNvSpPr>
      </xdr:nvSpPr>
      <xdr:spPr>
        <a:xfrm>
          <a:off x="6629400" y="2419350"/>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0</xdr:colOff>
      <xdr:row>15</xdr:row>
      <xdr:rowOff>0</xdr:rowOff>
    </xdr:from>
    <xdr:to>
      <xdr:col>14</xdr:col>
      <xdr:colOff>0</xdr:colOff>
      <xdr:row>16</xdr:row>
      <xdr:rowOff>0</xdr:rowOff>
    </xdr:to>
    <xdr:sp>
      <xdr:nvSpPr>
        <xdr:cNvPr id="3" name="テキスト 204"/>
        <xdr:cNvSpPr txBox="1">
          <a:spLocks noChangeArrowheads="1"/>
        </xdr:cNvSpPr>
      </xdr:nvSpPr>
      <xdr:spPr>
        <a:xfrm>
          <a:off x="6629400" y="3143250"/>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0</xdr:colOff>
      <xdr:row>22</xdr:row>
      <xdr:rowOff>9525</xdr:rowOff>
    </xdr:from>
    <xdr:to>
      <xdr:col>14</xdr:col>
      <xdr:colOff>0</xdr:colOff>
      <xdr:row>23</xdr:row>
      <xdr:rowOff>0</xdr:rowOff>
    </xdr:to>
    <xdr:sp>
      <xdr:nvSpPr>
        <xdr:cNvPr id="4" name="テキスト 204"/>
        <xdr:cNvSpPr txBox="1">
          <a:spLocks noChangeArrowheads="1"/>
        </xdr:cNvSpPr>
      </xdr:nvSpPr>
      <xdr:spPr>
        <a:xfrm>
          <a:off x="6629400" y="441960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4</xdr:col>
      <xdr:colOff>0</xdr:colOff>
      <xdr:row>11</xdr:row>
      <xdr:rowOff>0</xdr:rowOff>
    </xdr:from>
    <xdr:to>
      <xdr:col>4</xdr:col>
      <xdr:colOff>133350</xdr:colOff>
      <xdr:row>11</xdr:row>
      <xdr:rowOff>171450</xdr:rowOff>
    </xdr:to>
    <xdr:sp>
      <xdr:nvSpPr>
        <xdr:cNvPr id="5" name="テキスト 204"/>
        <xdr:cNvSpPr txBox="1">
          <a:spLocks noChangeArrowheads="1"/>
        </xdr:cNvSpPr>
      </xdr:nvSpPr>
      <xdr:spPr>
        <a:xfrm>
          <a:off x="2057400" y="2419350"/>
          <a:ext cx="1333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66CC"/>
              </a:solidFill>
            </a:rPr>
            <a:t>C</a:t>
          </a:r>
        </a:p>
      </xdr:txBody>
    </xdr:sp>
    <xdr:clientData/>
  </xdr:twoCellAnchor>
  <xdr:twoCellAnchor>
    <xdr:from>
      <xdr:col>5</xdr:col>
      <xdr:colOff>0</xdr:colOff>
      <xdr:row>12</xdr:row>
      <xdr:rowOff>0</xdr:rowOff>
    </xdr:from>
    <xdr:to>
      <xdr:col>5</xdr:col>
      <xdr:colOff>133350</xdr:colOff>
      <xdr:row>12</xdr:row>
      <xdr:rowOff>171450</xdr:rowOff>
    </xdr:to>
    <xdr:sp>
      <xdr:nvSpPr>
        <xdr:cNvPr id="6" name="テキスト 204"/>
        <xdr:cNvSpPr txBox="1">
          <a:spLocks noChangeArrowheads="1"/>
        </xdr:cNvSpPr>
      </xdr:nvSpPr>
      <xdr:spPr>
        <a:xfrm>
          <a:off x="2581275" y="2600325"/>
          <a:ext cx="1333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66CC"/>
              </a:solidFill>
            </a:rPr>
            <a:t>C</a:t>
          </a:r>
        </a:p>
      </xdr:txBody>
    </xdr:sp>
    <xdr:clientData/>
  </xdr:twoCellAnchor>
  <xdr:twoCellAnchor>
    <xdr:from>
      <xdr:col>6</xdr:col>
      <xdr:colOff>0</xdr:colOff>
      <xdr:row>13</xdr:row>
      <xdr:rowOff>0</xdr:rowOff>
    </xdr:from>
    <xdr:to>
      <xdr:col>6</xdr:col>
      <xdr:colOff>133350</xdr:colOff>
      <xdr:row>13</xdr:row>
      <xdr:rowOff>171450</xdr:rowOff>
    </xdr:to>
    <xdr:sp>
      <xdr:nvSpPr>
        <xdr:cNvPr id="7" name="テキスト 204"/>
        <xdr:cNvSpPr txBox="1">
          <a:spLocks noChangeArrowheads="1"/>
        </xdr:cNvSpPr>
      </xdr:nvSpPr>
      <xdr:spPr>
        <a:xfrm>
          <a:off x="3105150" y="2781300"/>
          <a:ext cx="1333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66CC"/>
              </a:solidFill>
            </a:rPr>
            <a:t>C</a:t>
          </a:r>
        </a:p>
      </xdr:txBody>
    </xdr:sp>
    <xdr:clientData/>
  </xdr:twoCellAnchor>
  <xdr:twoCellAnchor>
    <xdr:from>
      <xdr:col>7</xdr:col>
      <xdr:colOff>28575</xdr:colOff>
      <xdr:row>8</xdr:row>
      <xdr:rowOff>0</xdr:rowOff>
    </xdr:from>
    <xdr:to>
      <xdr:col>7</xdr:col>
      <xdr:colOff>495300</xdr:colOff>
      <xdr:row>18</xdr:row>
      <xdr:rowOff>19050</xdr:rowOff>
    </xdr:to>
    <xdr:sp>
      <xdr:nvSpPr>
        <xdr:cNvPr id="8" name="テキスト ボックス 13"/>
        <xdr:cNvSpPr txBox="1">
          <a:spLocks noChangeArrowheads="1"/>
        </xdr:cNvSpPr>
      </xdr:nvSpPr>
      <xdr:spPr>
        <a:xfrm>
          <a:off x="3657600" y="1876425"/>
          <a:ext cx="457200" cy="182880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2000" b="1" i="0" u="none" baseline="0">
              <a:solidFill>
                <a:srgbClr val="000000"/>
              </a:solidFill>
            </a:rPr>
            <a:t>ノーレース</a:t>
          </a:r>
        </a:p>
      </xdr:txBody>
    </xdr:sp>
    <xdr:clientData/>
  </xdr:twoCellAnchor>
  <xdr:twoCellAnchor>
    <xdr:from>
      <xdr:col>8</xdr:col>
      <xdr:colOff>0</xdr:colOff>
      <xdr:row>14</xdr:row>
      <xdr:rowOff>0</xdr:rowOff>
    </xdr:from>
    <xdr:to>
      <xdr:col>8</xdr:col>
      <xdr:colOff>133350</xdr:colOff>
      <xdr:row>14</xdr:row>
      <xdr:rowOff>171450</xdr:rowOff>
    </xdr:to>
    <xdr:sp>
      <xdr:nvSpPr>
        <xdr:cNvPr id="9" name="テキスト 204"/>
        <xdr:cNvSpPr txBox="1">
          <a:spLocks noChangeArrowheads="1"/>
        </xdr:cNvSpPr>
      </xdr:nvSpPr>
      <xdr:spPr>
        <a:xfrm>
          <a:off x="4152900" y="2962275"/>
          <a:ext cx="1333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66CC"/>
              </a:solidFill>
            </a:rPr>
            <a:t>B</a:t>
          </a:r>
        </a:p>
      </xdr:txBody>
    </xdr:sp>
    <xdr:clientData/>
  </xdr:twoCellAnchor>
  <xdr:twoCellAnchor>
    <xdr:from>
      <xdr:col>9</xdr:col>
      <xdr:colOff>0</xdr:colOff>
      <xdr:row>15</xdr:row>
      <xdr:rowOff>0</xdr:rowOff>
    </xdr:from>
    <xdr:to>
      <xdr:col>9</xdr:col>
      <xdr:colOff>133350</xdr:colOff>
      <xdr:row>15</xdr:row>
      <xdr:rowOff>171450</xdr:rowOff>
    </xdr:to>
    <xdr:sp>
      <xdr:nvSpPr>
        <xdr:cNvPr id="10" name="テキスト 204"/>
        <xdr:cNvSpPr txBox="1">
          <a:spLocks noChangeArrowheads="1"/>
        </xdr:cNvSpPr>
      </xdr:nvSpPr>
      <xdr:spPr>
        <a:xfrm>
          <a:off x="4676775" y="3143250"/>
          <a:ext cx="1333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66CC"/>
              </a:solidFill>
            </a:rPr>
            <a: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21</xdr:row>
      <xdr:rowOff>0</xdr:rowOff>
    </xdr:from>
    <xdr:to>
      <xdr:col>2</xdr:col>
      <xdr:colOff>561975</xdr:colOff>
      <xdr:row>21</xdr:row>
      <xdr:rowOff>0</xdr:rowOff>
    </xdr:to>
    <xdr:sp>
      <xdr:nvSpPr>
        <xdr:cNvPr id="1" name="Text Box 1"/>
        <xdr:cNvSpPr txBox="1">
          <a:spLocks noChangeArrowheads="1"/>
        </xdr:cNvSpPr>
      </xdr:nvSpPr>
      <xdr:spPr>
        <a:xfrm>
          <a:off x="971550" y="5657850"/>
          <a:ext cx="314325" cy="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12</xdr:col>
      <xdr:colOff>0</xdr:colOff>
      <xdr:row>5</xdr:row>
      <xdr:rowOff>0</xdr:rowOff>
    </xdr:from>
    <xdr:to>
      <xdr:col>12</xdr:col>
      <xdr:colOff>0</xdr:colOff>
      <xdr:row>6</xdr:row>
      <xdr:rowOff>28575</xdr:rowOff>
    </xdr:to>
    <xdr:sp>
      <xdr:nvSpPr>
        <xdr:cNvPr id="2" name="テキスト 204"/>
        <xdr:cNvSpPr txBox="1">
          <a:spLocks noChangeArrowheads="1"/>
        </xdr:cNvSpPr>
      </xdr:nvSpPr>
      <xdr:spPr>
        <a:xfrm>
          <a:off x="6343650" y="1552575"/>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7</xdr:row>
      <xdr:rowOff>0</xdr:rowOff>
    </xdr:from>
    <xdr:to>
      <xdr:col>12</xdr:col>
      <xdr:colOff>0</xdr:colOff>
      <xdr:row>8</xdr:row>
      <xdr:rowOff>0</xdr:rowOff>
    </xdr:to>
    <xdr:sp>
      <xdr:nvSpPr>
        <xdr:cNvPr id="3" name="テキスト 204"/>
        <xdr:cNvSpPr txBox="1">
          <a:spLocks noChangeArrowheads="1"/>
        </xdr:cNvSpPr>
      </xdr:nvSpPr>
      <xdr:spPr>
        <a:xfrm>
          <a:off x="6343650" y="20478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17</xdr:row>
      <xdr:rowOff>0</xdr:rowOff>
    </xdr:from>
    <xdr:to>
      <xdr:col>12</xdr:col>
      <xdr:colOff>0</xdr:colOff>
      <xdr:row>17</xdr:row>
      <xdr:rowOff>0</xdr:rowOff>
    </xdr:to>
    <xdr:sp>
      <xdr:nvSpPr>
        <xdr:cNvPr id="4" name="テキスト 204"/>
        <xdr:cNvSpPr txBox="1">
          <a:spLocks noChangeArrowheads="1"/>
        </xdr:cNvSpPr>
      </xdr:nvSpPr>
      <xdr:spPr>
        <a:xfrm>
          <a:off x="6343650"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0</xdr:colOff>
      <xdr:row>17</xdr:row>
      <xdr:rowOff>0</xdr:rowOff>
    </xdr:from>
    <xdr:to>
      <xdr:col>12</xdr:col>
      <xdr:colOff>0</xdr:colOff>
      <xdr:row>17</xdr:row>
      <xdr:rowOff>0</xdr:rowOff>
    </xdr:to>
    <xdr:sp>
      <xdr:nvSpPr>
        <xdr:cNvPr id="5" name="テキスト 204"/>
        <xdr:cNvSpPr txBox="1">
          <a:spLocks noChangeArrowheads="1"/>
        </xdr:cNvSpPr>
      </xdr:nvSpPr>
      <xdr:spPr>
        <a:xfrm>
          <a:off x="6343650"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9</xdr:row>
      <xdr:rowOff>0</xdr:rowOff>
    </xdr:from>
    <xdr:to>
      <xdr:col>12</xdr:col>
      <xdr:colOff>0</xdr:colOff>
      <xdr:row>10</xdr:row>
      <xdr:rowOff>0</xdr:rowOff>
    </xdr:to>
    <xdr:sp>
      <xdr:nvSpPr>
        <xdr:cNvPr id="6" name="テキスト 204"/>
        <xdr:cNvSpPr txBox="1">
          <a:spLocks noChangeArrowheads="1"/>
        </xdr:cNvSpPr>
      </xdr:nvSpPr>
      <xdr:spPr>
        <a:xfrm>
          <a:off x="6343650" y="25050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17</xdr:row>
      <xdr:rowOff>0</xdr:rowOff>
    </xdr:from>
    <xdr:to>
      <xdr:col>12</xdr:col>
      <xdr:colOff>0</xdr:colOff>
      <xdr:row>17</xdr:row>
      <xdr:rowOff>0</xdr:rowOff>
    </xdr:to>
    <xdr:sp>
      <xdr:nvSpPr>
        <xdr:cNvPr id="7" name="テキスト 204"/>
        <xdr:cNvSpPr txBox="1">
          <a:spLocks noChangeArrowheads="1"/>
        </xdr:cNvSpPr>
      </xdr:nvSpPr>
      <xdr:spPr>
        <a:xfrm>
          <a:off x="6343650"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0</xdr:colOff>
      <xdr:row>5</xdr:row>
      <xdr:rowOff>161925</xdr:rowOff>
    </xdr:from>
    <xdr:to>
      <xdr:col>12</xdr:col>
      <xdr:colOff>0</xdr:colOff>
      <xdr:row>7</xdr:row>
      <xdr:rowOff>19050</xdr:rowOff>
    </xdr:to>
    <xdr:sp>
      <xdr:nvSpPr>
        <xdr:cNvPr id="8" name="テキスト 204"/>
        <xdr:cNvSpPr txBox="1">
          <a:spLocks noChangeArrowheads="1"/>
        </xdr:cNvSpPr>
      </xdr:nvSpPr>
      <xdr:spPr>
        <a:xfrm>
          <a:off x="6343650" y="1714500"/>
          <a:ext cx="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4</xdr:col>
      <xdr:colOff>9525</xdr:colOff>
      <xdr:row>11</xdr:row>
      <xdr:rowOff>9525</xdr:rowOff>
    </xdr:from>
    <xdr:to>
      <xdr:col>4</xdr:col>
      <xdr:colOff>142875</xdr:colOff>
      <xdr:row>12</xdr:row>
      <xdr:rowOff>0</xdr:rowOff>
    </xdr:to>
    <xdr:sp fLocksText="0">
      <xdr:nvSpPr>
        <xdr:cNvPr id="9" name="テキスト 204"/>
        <xdr:cNvSpPr txBox="1">
          <a:spLocks noChangeArrowheads="1"/>
        </xdr:cNvSpPr>
      </xdr:nvSpPr>
      <xdr:spPr>
        <a:xfrm>
          <a:off x="1857375" y="2971800"/>
          <a:ext cx="13335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17</xdr:row>
      <xdr:rowOff>0</xdr:rowOff>
    </xdr:from>
    <xdr:to>
      <xdr:col>4</xdr:col>
      <xdr:colOff>133350</xdr:colOff>
      <xdr:row>17</xdr:row>
      <xdr:rowOff>0</xdr:rowOff>
    </xdr:to>
    <xdr:sp fLocksText="0">
      <xdr:nvSpPr>
        <xdr:cNvPr id="10" name="テキスト 204"/>
        <xdr:cNvSpPr txBox="1">
          <a:spLocks noChangeArrowheads="1"/>
        </xdr:cNvSpPr>
      </xdr:nvSpPr>
      <xdr:spPr>
        <a:xfrm>
          <a:off x="1847850" y="4333875"/>
          <a:ext cx="1333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17</xdr:row>
      <xdr:rowOff>0</xdr:rowOff>
    </xdr:from>
    <xdr:to>
      <xdr:col>8</xdr:col>
      <xdr:colOff>152400</xdr:colOff>
      <xdr:row>17</xdr:row>
      <xdr:rowOff>0</xdr:rowOff>
    </xdr:to>
    <xdr:sp>
      <xdr:nvSpPr>
        <xdr:cNvPr id="11" name="テキスト 204"/>
        <xdr:cNvSpPr txBox="1">
          <a:spLocks noChangeArrowheads="1"/>
        </xdr:cNvSpPr>
      </xdr:nvSpPr>
      <xdr:spPr>
        <a:xfrm>
          <a:off x="4114800" y="433387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12</xdr:col>
      <xdr:colOff>0</xdr:colOff>
      <xdr:row>17</xdr:row>
      <xdr:rowOff>0</xdr:rowOff>
    </xdr:from>
    <xdr:to>
      <xdr:col>12</xdr:col>
      <xdr:colOff>0</xdr:colOff>
      <xdr:row>17</xdr:row>
      <xdr:rowOff>0</xdr:rowOff>
    </xdr:to>
    <xdr:sp>
      <xdr:nvSpPr>
        <xdr:cNvPr id="12" name="テキスト 204"/>
        <xdr:cNvSpPr txBox="1">
          <a:spLocks noChangeArrowheads="1"/>
        </xdr:cNvSpPr>
      </xdr:nvSpPr>
      <xdr:spPr>
        <a:xfrm>
          <a:off x="6343650"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12</xdr:col>
      <xdr:colOff>0</xdr:colOff>
      <xdr:row>20</xdr:row>
      <xdr:rowOff>0</xdr:rowOff>
    </xdr:from>
    <xdr:to>
      <xdr:col>12</xdr:col>
      <xdr:colOff>0</xdr:colOff>
      <xdr:row>21</xdr:row>
      <xdr:rowOff>28575</xdr:rowOff>
    </xdr:to>
    <xdr:sp>
      <xdr:nvSpPr>
        <xdr:cNvPr id="13" name="テキスト 204"/>
        <xdr:cNvSpPr txBox="1">
          <a:spLocks noChangeArrowheads="1"/>
        </xdr:cNvSpPr>
      </xdr:nvSpPr>
      <xdr:spPr>
        <a:xfrm>
          <a:off x="6343650" y="539115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22</xdr:row>
      <xdr:rowOff>0</xdr:rowOff>
    </xdr:from>
    <xdr:to>
      <xdr:col>12</xdr:col>
      <xdr:colOff>0</xdr:colOff>
      <xdr:row>23</xdr:row>
      <xdr:rowOff>0</xdr:rowOff>
    </xdr:to>
    <xdr:sp>
      <xdr:nvSpPr>
        <xdr:cNvPr id="14" name="テキスト 204"/>
        <xdr:cNvSpPr txBox="1">
          <a:spLocks noChangeArrowheads="1"/>
        </xdr:cNvSpPr>
      </xdr:nvSpPr>
      <xdr:spPr>
        <a:xfrm>
          <a:off x="6343650" y="58864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24</xdr:row>
      <xdr:rowOff>0</xdr:rowOff>
    </xdr:from>
    <xdr:to>
      <xdr:col>12</xdr:col>
      <xdr:colOff>0</xdr:colOff>
      <xdr:row>25</xdr:row>
      <xdr:rowOff>0</xdr:rowOff>
    </xdr:to>
    <xdr:sp>
      <xdr:nvSpPr>
        <xdr:cNvPr id="15" name="テキスト 204"/>
        <xdr:cNvSpPr txBox="1">
          <a:spLocks noChangeArrowheads="1"/>
        </xdr:cNvSpPr>
      </xdr:nvSpPr>
      <xdr:spPr>
        <a:xfrm>
          <a:off x="6343650" y="63436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20</xdr:row>
      <xdr:rowOff>161925</xdr:rowOff>
    </xdr:from>
    <xdr:to>
      <xdr:col>12</xdr:col>
      <xdr:colOff>0</xdr:colOff>
      <xdr:row>22</xdr:row>
      <xdr:rowOff>19050</xdr:rowOff>
    </xdr:to>
    <xdr:sp>
      <xdr:nvSpPr>
        <xdr:cNvPr id="16" name="テキスト 204"/>
        <xdr:cNvSpPr txBox="1">
          <a:spLocks noChangeArrowheads="1"/>
        </xdr:cNvSpPr>
      </xdr:nvSpPr>
      <xdr:spPr>
        <a:xfrm>
          <a:off x="6343650" y="5553075"/>
          <a:ext cx="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0</xdr:colOff>
      <xdr:row>32</xdr:row>
      <xdr:rowOff>0</xdr:rowOff>
    </xdr:from>
    <xdr:to>
      <xdr:col>2</xdr:col>
      <xdr:colOff>0</xdr:colOff>
      <xdr:row>32</xdr:row>
      <xdr:rowOff>0</xdr:rowOff>
    </xdr:to>
    <xdr:sp>
      <xdr:nvSpPr>
        <xdr:cNvPr id="17" name="テキスト 204"/>
        <xdr:cNvSpPr txBox="1">
          <a:spLocks noChangeArrowheads="1"/>
        </xdr:cNvSpPr>
      </xdr:nvSpPr>
      <xdr:spPr>
        <a:xfrm>
          <a:off x="723900" y="814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0</xdr:colOff>
      <xdr:row>32</xdr:row>
      <xdr:rowOff>0</xdr:rowOff>
    </xdr:from>
    <xdr:to>
      <xdr:col>2</xdr:col>
      <xdr:colOff>0</xdr:colOff>
      <xdr:row>32</xdr:row>
      <xdr:rowOff>0</xdr:rowOff>
    </xdr:to>
    <xdr:sp>
      <xdr:nvSpPr>
        <xdr:cNvPr id="18" name="テキスト 204"/>
        <xdr:cNvSpPr txBox="1">
          <a:spLocks noChangeArrowheads="1"/>
        </xdr:cNvSpPr>
      </xdr:nvSpPr>
      <xdr:spPr>
        <a:xfrm>
          <a:off x="723900" y="814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0</xdr:colOff>
      <xdr:row>32</xdr:row>
      <xdr:rowOff>0</xdr:rowOff>
    </xdr:from>
    <xdr:to>
      <xdr:col>2</xdr:col>
      <xdr:colOff>0</xdr:colOff>
      <xdr:row>32</xdr:row>
      <xdr:rowOff>0</xdr:rowOff>
    </xdr:to>
    <xdr:sp>
      <xdr:nvSpPr>
        <xdr:cNvPr id="19" name="テキスト 204"/>
        <xdr:cNvSpPr txBox="1">
          <a:spLocks noChangeArrowheads="1"/>
        </xdr:cNvSpPr>
      </xdr:nvSpPr>
      <xdr:spPr>
        <a:xfrm>
          <a:off x="723900" y="814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0</xdr:colOff>
      <xdr:row>32</xdr:row>
      <xdr:rowOff>0</xdr:rowOff>
    </xdr:from>
    <xdr:to>
      <xdr:col>2</xdr:col>
      <xdr:colOff>0</xdr:colOff>
      <xdr:row>32</xdr:row>
      <xdr:rowOff>0</xdr:rowOff>
    </xdr:to>
    <xdr:sp>
      <xdr:nvSpPr>
        <xdr:cNvPr id="20" name="テキスト 204"/>
        <xdr:cNvSpPr txBox="1">
          <a:spLocks noChangeArrowheads="1"/>
        </xdr:cNvSpPr>
      </xdr:nvSpPr>
      <xdr:spPr>
        <a:xfrm>
          <a:off x="723900" y="814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20</xdr:row>
      <xdr:rowOff>0</xdr:rowOff>
    </xdr:from>
    <xdr:to>
      <xdr:col>10</xdr:col>
      <xdr:colOff>0</xdr:colOff>
      <xdr:row>21</xdr:row>
      <xdr:rowOff>28575</xdr:rowOff>
    </xdr:to>
    <xdr:sp>
      <xdr:nvSpPr>
        <xdr:cNvPr id="21" name="テキスト 204"/>
        <xdr:cNvSpPr txBox="1">
          <a:spLocks noChangeArrowheads="1"/>
        </xdr:cNvSpPr>
      </xdr:nvSpPr>
      <xdr:spPr>
        <a:xfrm>
          <a:off x="5219700" y="539115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22</xdr:row>
      <xdr:rowOff>0</xdr:rowOff>
    </xdr:from>
    <xdr:to>
      <xdr:col>10</xdr:col>
      <xdr:colOff>0</xdr:colOff>
      <xdr:row>23</xdr:row>
      <xdr:rowOff>0</xdr:rowOff>
    </xdr:to>
    <xdr:sp>
      <xdr:nvSpPr>
        <xdr:cNvPr id="22" name="テキスト 204"/>
        <xdr:cNvSpPr txBox="1">
          <a:spLocks noChangeArrowheads="1"/>
        </xdr:cNvSpPr>
      </xdr:nvSpPr>
      <xdr:spPr>
        <a:xfrm>
          <a:off x="5219700" y="58864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24</xdr:row>
      <xdr:rowOff>0</xdr:rowOff>
    </xdr:from>
    <xdr:to>
      <xdr:col>10</xdr:col>
      <xdr:colOff>0</xdr:colOff>
      <xdr:row>25</xdr:row>
      <xdr:rowOff>0</xdr:rowOff>
    </xdr:to>
    <xdr:sp>
      <xdr:nvSpPr>
        <xdr:cNvPr id="23" name="テキスト 204"/>
        <xdr:cNvSpPr txBox="1">
          <a:spLocks noChangeArrowheads="1"/>
        </xdr:cNvSpPr>
      </xdr:nvSpPr>
      <xdr:spPr>
        <a:xfrm>
          <a:off x="5219700" y="63436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20</xdr:row>
      <xdr:rowOff>161925</xdr:rowOff>
    </xdr:from>
    <xdr:to>
      <xdr:col>10</xdr:col>
      <xdr:colOff>0</xdr:colOff>
      <xdr:row>22</xdr:row>
      <xdr:rowOff>19050</xdr:rowOff>
    </xdr:to>
    <xdr:sp>
      <xdr:nvSpPr>
        <xdr:cNvPr id="24" name="テキスト 204"/>
        <xdr:cNvSpPr txBox="1">
          <a:spLocks noChangeArrowheads="1"/>
        </xdr:cNvSpPr>
      </xdr:nvSpPr>
      <xdr:spPr>
        <a:xfrm>
          <a:off x="5219700" y="5553075"/>
          <a:ext cx="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20</xdr:row>
      <xdr:rowOff>0</xdr:rowOff>
    </xdr:from>
    <xdr:to>
      <xdr:col>12</xdr:col>
      <xdr:colOff>0</xdr:colOff>
      <xdr:row>21</xdr:row>
      <xdr:rowOff>28575</xdr:rowOff>
    </xdr:to>
    <xdr:sp>
      <xdr:nvSpPr>
        <xdr:cNvPr id="25" name="テキスト 204"/>
        <xdr:cNvSpPr txBox="1">
          <a:spLocks noChangeArrowheads="1"/>
        </xdr:cNvSpPr>
      </xdr:nvSpPr>
      <xdr:spPr>
        <a:xfrm>
          <a:off x="6343650" y="539115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22</xdr:row>
      <xdr:rowOff>0</xdr:rowOff>
    </xdr:from>
    <xdr:to>
      <xdr:col>12</xdr:col>
      <xdr:colOff>0</xdr:colOff>
      <xdr:row>23</xdr:row>
      <xdr:rowOff>0</xdr:rowOff>
    </xdr:to>
    <xdr:sp>
      <xdr:nvSpPr>
        <xdr:cNvPr id="26" name="テキスト 204"/>
        <xdr:cNvSpPr txBox="1">
          <a:spLocks noChangeArrowheads="1"/>
        </xdr:cNvSpPr>
      </xdr:nvSpPr>
      <xdr:spPr>
        <a:xfrm>
          <a:off x="6343650" y="58864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24</xdr:row>
      <xdr:rowOff>0</xdr:rowOff>
    </xdr:from>
    <xdr:to>
      <xdr:col>12</xdr:col>
      <xdr:colOff>0</xdr:colOff>
      <xdr:row>25</xdr:row>
      <xdr:rowOff>0</xdr:rowOff>
    </xdr:to>
    <xdr:sp>
      <xdr:nvSpPr>
        <xdr:cNvPr id="27" name="テキスト 204"/>
        <xdr:cNvSpPr txBox="1">
          <a:spLocks noChangeArrowheads="1"/>
        </xdr:cNvSpPr>
      </xdr:nvSpPr>
      <xdr:spPr>
        <a:xfrm>
          <a:off x="6343650" y="63436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20</xdr:row>
      <xdr:rowOff>161925</xdr:rowOff>
    </xdr:from>
    <xdr:to>
      <xdr:col>12</xdr:col>
      <xdr:colOff>0</xdr:colOff>
      <xdr:row>22</xdr:row>
      <xdr:rowOff>19050</xdr:rowOff>
    </xdr:to>
    <xdr:sp>
      <xdr:nvSpPr>
        <xdr:cNvPr id="28" name="テキスト 204"/>
        <xdr:cNvSpPr txBox="1">
          <a:spLocks noChangeArrowheads="1"/>
        </xdr:cNvSpPr>
      </xdr:nvSpPr>
      <xdr:spPr>
        <a:xfrm>
          <a:off x="6343650" y="5553075"/>
          <a:ext cx="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5</xdr:row>
      <xdr:rowOff>0</xdr:rowOff>
    </xdr:from>
    <xdr:to>
      <xdr:col>12</xdr:col>
      <xdr:colOff>0</xdr:colOff>
      <xdr:row>6</xdr:row>
      <xdr:rowOff>28575</xdr:rowOff>
    </xdr:to>
    <xdr:sp>
      <xdr:nvSpPr>
        <xdr:cNvPr id="29" name="テキスト 204"/>
        <xdr:cNvSpPr txBox="1">
          <a:spLocks noChangeArrowheads="1"/>
        </xdr:cNvSpPr>
      </xdr:nvSpPr>
      <xdr:spPr>
        <a:xfrm>
          <a:off x="6343650" y="1552575"/>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7</xdr:row>
      <xdr:rowOff>0</xdr:rowOff>
    </xdr:from>
    <xdr:to>
      <xdr:col>12</xdr:col>
      <xdr:colOff>0</xdr:colOff>
      <xdr:row>8</xdr:row>
      <xdr:rowOff>0</xdr:rowOff>
    </xdr:to>
    <xdr:sp>
      <xdr:nvSpPr>
        <xdr:cNvPr id="30" name="テキスト 204"/>
        <xdr:cNvSpPr txBox="1">
          <a:spLocks noChangeArrowheads="1"/>
        </xdr:cNvSpPr>
      </xdr:nvSpPr>
      <xdr:spPr>
        <a:xfrm>
          <a:off x="6343650" y="20478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12</xdr:col>
      <xdr:colOff>0</xdr:colOff>
      <xdr:row>5</xdr:row>
      <xdr:rowOff>161925</xdr:rowOff>
    </xdr:from>
    <xdr:to>
      <xdr:col>12</xdr:col>
      <xdr:colOff>0</xdr:colOff>
      <xdr:row>7</xdr:row>
      <xdr:rowOff>19050</xdr:rowOff>
    </xdr:to>
    <xdr:sp>
      <xdr:nvSpPr>
        <xdr:cNvPr id="31" name="テキスト 204"/>
        <xdr:cNvSpPr txBox="1">
          <a:spLocks noChangeArrowheads="1"/>
        </xdr:cNvSpPr>
      </xdr:nvSpPr>
      <xdr:spPr>
        <a:xfrm>
          <a:off x="6343650" y="1714500"/>
          <a:ext cx="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20</xdr:row>
      <xdr:rowOff>0</xdr:rowOff>
    </xdr:from>
    <xdr:to>
      <xdr:col>10</xdr:col>
      <xdr:colOff>0</xdr:colOff>
      <xdr:row>21</xdr:row>
      <xdr:rowOff>28575</xdr:rowOff>
    </xdr:to>
    <xdr:sp>
      <xdr:nvSpPr>
        <xdr:cNvPr id="32" name="テキスト 204"/>
        <xdr:cNvSpPr txBox="1">
          <a:spLocks noChangeArrowheads="1"/>
        </xdr:cNvSpPr>
      </xdr:nvSpPr>
      <xdr:spPr>
        <a:xfrm>
          <a:off x="5219700" y="539115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22</xdr:row>
      <xdr:rowOff>0</xdr:rowOff>
    </xdr:from>
    <xdr:to>
      <xdr:col>10</xdr:col>
      <xdr:colOff>0</xdr:colOff>
      <xdr:row>23</xdr:row>
      <xdr:rowOff>0</xdr:rowOff>
    </xdr:to>
    <xdr:sp>
      <xdr:nvSpPr>
        <xdr:cNvPr id="33" name="テキスト 204"/>
        <xdr:cNvSpPr txBox="1">
          <a:spLocks noChangeArrowheads="1"/>
        </xdr:cNvSpPr>
      </xdr:nvSpPr>
      <xdr:spPr>
        <a:xfrm>
          <a:off x="5219700" y="58864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24</xdr:row>
      <xdr:rowOff>0</xdr:rowOff>
    </xdr:from>
    <xdr:to>
      <xdr:col>10</xdr:col>
      <xdr:colOff>0</xdr:colOff>
      <xdr:row>25</xdr:row>
      <xdr:rowOff>0</xdr:rowOff>
    </xdr:to>
    <xdr:sp>
      <xdr:nvSpPr>
        <xdr:cNvPr id="34" name="テキスト 204"/>
        <xdr:cNvSpPr txBox="1">
          <a:spLocks noChangeArrowheads="1"/>
        </xdr:cNvSpPr>
      </xdr:nvSpPr>
      <xdr:spPr>
        <a:xfrm>
          <a:off x="5219700" y="634365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p>
      </xdr:txBody>
    </xdr:sp>
    <xdr:clientData/>
  </xdr:twoCellAnchor>
  <xdr:twoCellAnchor>
    <xdr:from>
      <xdr:col>10</xdr:col>
      <xdr:colOff>0</xdr:colOff>
      <xdr:row>20</xdr:row>
      <xdr:rowOff>161925</xdr:rowOff>
    </xdr:from>
    <xdr:to>
      <xdr:col>10</xdr:col>
      <xdr:colOff>0</xdr:colOff>
      <xdr:row>22</xdr:row>
      <xdr:rowOff>19050</xdr:rowOff>
    </xdr:to>
    <xdr:sp>
      <xdr:nvSpPr>
        <xdr:cNvPr id="35" name="テキスト 204"/>
        <xdr:cNvSpPr txBox="1">
          <a:spLocks noChangeArrowheads="1"/>
        </xdr:cNvSpPr>
      </xdr:nvSpPr>
      <xdr:spPr>
        <a:xfrm>
          <a:off x="5219700" y="5553075"/>
          <a:ext cx="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Y41"/>
  <sheetViews>
    <sheetView view="pageBreakPreview" zoomScaleNormal="85" zoomScaleSheetLayoutView="100" zoomScalePageLayoutView="70" workbookViewId="0" topLeftCell="A10">
      <selection activeCell="H32" sqref="H32:Q41"/>
    </sheetView>
  </sheetViews>
  <sheetFormatPr defaultColWidth="9.140625" defaultRowHeight="15"/>
  <cols>
    <col min="1" max="1" width="1.7109375" style="0" customWidth="1"/>
    <col min="2" max="2" width="5.00390625" style="0" customWidth="1"/>
    <col min="3" max="3" width="7.00390625" style="0" customWidth="1"/>
    <col min="4" max="4" width="18.00390625" style="0" customWidth="1"/>
    <col min="5" max="5" width="9.140625" style="0" customWidth="1"/>
    <col min="6" max="6" width="5.00390625" style="0" customWidth="1"/>
    <col min="7" max="7" width="10.8515625" style="0" customWidth="1"/>
    <col min="8" max="8" width="8.421875" style="0" customWidth="1"/>
    <col min="9" max="9" width="7.57421875" style="0" customWidth="1"/>
    <col min="10" max="10" width="5.00390625" style="0" customWidth="1"/>
    <col min="11" max="11" width="8.421875" style="0" customWidth="1"/>
    <col min="12" max="12" width="11.421875" style="0" bestFit="1" customWidth="1"/>
    <col min="13" max="13" width="9.28125" style="0" customWidth="1"/>
    <col min="14" max="14" width="7.8515625" style="0" customWidth="1"/>
    <col min="15" max="15" width="8.00390625" style="0" customWidth="1"/>
    <col min="16" max="16" width="11.28125" style="0" customWidth="1"/>
    <col min="17" max="17" width="12.28125" style="0" customWidth="1"/>
    <col min="18" max="18" width="4.8515625" style="0" customWidth="1"/>
    <col min="19" max="19" width="7.7109375" style="0" customWidth="1"/>
    <col min="20" max="21" width="7.57421875" style="0" customWidth="1"/>
    <col min="22" max="22" width="4.421875" style="0" customWidth="1"/>
    <col min="23" max="25" width="8.00390625" style="0" customWidth="1"/>
  </cols>
  <sheetData>
    <row r="1" ht="9.75" customHeight="1" thickBot="1"/>
    <row r="2" spans="2:22" ht="21">
      <c r="B2" s="1"/>
      <c r="C2" s="2"/>
      <c r="D2" s="392" t="str">
        <f>'参照ﾃﾞｰﾀ'!N4</f>
        <v>2016年</v>
      </c>
      <c r="E2" s="392"/>
      <c r="F2" s="392"/>
      <c r="G2" s="95" t="s">
        <v>235</v>
      </c>
      <c r="H2" s="38"/>
      <c r="I2" s="3"/>
      <c r="J2" s="1"/>
      <c r="K2" s="26"/>
      <c r="L2" s="1"/>
      <c r="M2" s="78" t="s">
        <v>65</v>
      </c>
      <c r="N2" s="348" t="s">
        <v>227</v>
      </c>
      <c r="O2" s="80" t="s">
        <v>68</v>
      </c>
      <c r="P2" s="132">
        <v>42386</v>
      </c>
      <c r="Q2" s="114">
        <v>0.4166666666666667</v>
      </c>
      <c r="R2" s="1"/>
      <c r="S2" s="1"/>
      <c r="T2" s="1"/>
      <c r="U2" s="1"/>
      <c r="V2" s="1"/>
    </row>
    <row r="3" spans="2:23" ht="21.75" customHeight="1" thickBot="1">
      <c r="B3" s="1"/>
      <c r="D3" s="162" t="s">
        <v>302</v>
      </c>
      <c r="E3" s="393" t="s">
        <v>82</v>
      </c>
      <c r="F3" s="393"/>
      <c r="G3" s="393"/>
      <c r="H3" s="393"/>
      <c r="I3" s="393"/>
      <c r="J3" s="394" t="s">
        <v>105</v>
      </c>
      <c r="K3" s="394"/>
      <c r="L3" s="4"/>
      <c r="M3" s="290" t="s">
        <v>94</v>
      </c>
      <c r="N3" s="347">
        <f>IF(ISBLANK(N2),"",VLOOKUP(N2,コース・距離,2,FALSE))</f>
        <v>6</v>
      </c>
      <c r="O3" s="81" t="s">
        <v>0</v>
      </c>
      <c r="P3" s="82">
        <v>19</v>
      </c>
      <c r="Q3" s="83" t="s">
        <v>1</v>
      </c>
      <c r="R3" s="1"/>
      <c r="S3" s="112" t="s">
        <v>2</v>
      </c>
      <c r="T3" s="69"/>
      <c r="U3" s="69"/>
      <c r="V3" s="1"/>
      <c r="W3" s="127" t="s">
        <v>95</v>
      </c>
    </row>
    <row r="4" spans="2:22" ht="7.5" customHeight="1" thickBot="1">
      <c r="B4" s="1"/>
      <c r="C4" s="1"/>
      <c r="D4" s="1"/>
      <c r="E4" s="1"/>
      <c r="F4" s="1"/>
      <c r="G4" s="1"/>
      <c r="H4" s="1"/>
      <c r="I4" s="1"/>
      <c r="J4" s="1"/>
      <c r="K4" s="1"/>
      <c r="L4" s="1"/>
      <c r="M4" s="1"/>
      <c r="N4" s="1"/>
      <c r="O4" s="1"/>
      <c r="P4" s="1"/>
      <c r="Q4" s="1"/>
      <c r="R4" s="1"/>
      <c r="S4" s="70"/>
      <c r="T4" s="69"/>
      <c r="U4" s="69"/>
      <c r="V4" s="1"/>
    </row>
    <row r="5" spans="2:25" ht="14.25">
      <c r="B5" s="97" t="s">
        <v>3</v>
      </c>
      <c r="C5" s="76" t="s">
        <v>4</v>
      </c>
      <c r="D5" s="76" t="s">
        <v>5</v>
      </c>
      <c r="E5" s="76" t="s">
        <v>6</v>
      </c>
      <c r="F5" s="76" t="s">
        <v>7</v>
      </c>
      <c r="G5" s="76" t="s">
        <v>8</v>
      </c>
      <c r="H5" s="76" t="s">
        <v>9</v>
      </c>
      <c r="I5" s="76" t="s">
        <v>10</v>
      </c>
      <c r="J5" s="76" t="s">
        <v>11</v>
      </c>
      <c r="K5" s="76" t="s">
        <v>12</v>
      </c>
      <c r="L5" s="77" t="s">
        <v>72</v>
      </c>
      <c r="M5" s="77" t="s">
        <v>73</v>
      </c>
      <c r="N5" s="76" t="s">
        <v>90</v>
      </c>
      <c r="O5" s="76" t="s">
        <v>13</v>
      </c>
      <c r="P5" s="399" t="s">
        <v>89</v>
      </c>
      <c r="Q5" s="400"/>
      <c r="R5" s="5"/>
      <c r="S5" s="75" t="s">
        <v>10</v>
      </c>
      <c r="T5" s="76" t="s">
        <v>10</v>
      </c>
      <c r="U5" s="115" t="s">
        <v>10</v>
      </c>
      <c r="V5" s="5"/>
      <c r="W5" s="75" t="s">
        <v>13</v>
      </c>
      <c r="X5" s="76" t="s">
        <v>13</v>
      </c>
      <c r="Y5" s="115" t="s">
        <v>13</v>
      </c>
    </row>
    <row r="6" spans="2:25" ht="14.25">
      <c r="B6" s="43"/>
      <c r="C6" s="44" t="s">
        <v>14</v>
      </c>
      <c r="D6" s="45"/>
      <c r="E6" s="46" t="s">
        <v>15</v>
      </c>
      <c r="F6" s="46"/>
      <c r="G6" s="44" t="s">
        <v>16</v>
      </c>
      <c r="H6" s="46" t="s">
        <v>17</v>
      </c>
      <c r="I6" s="44" t="s">
        <v>199</v>
      </c>
      <c r="J6" s="46" t="s">
        <v>18</v>
      </c>
      <c r="K6" s="46" t="s">
        <v>17</v>
      </c>
      <c r="L6" s="44" t="s">
        <v>16</v>
      </c>
      <c r="M6" s="46" t="s">
        <v>58</v>
      </c>
      <c r="N6" s="46" t="s">
        <v>19</v>
      </c>
      <c r="O6" s="71" t="str">
        <f>IF(ISBLANK($N$2),"",VLOOKUP($N$2,コース・距離,3,FALSE))</f>
        <v>MAX=20</v>
      </c>
      <c r="P6" s="47">
        <f>IF($N$2="初島","初島MAG0°","")</f>
      </c>
      <c r="Q6" s="48"/>
      <c r="R6" s="6"/>
      <c r="S6" s="116" t="s">
        <v>20</v>
      </c>
      <c r="T6" s="71" t="s">
        <v>22</v>
      </c>
      <c r="U6" s="117" t="s">
        <v>21</v>
      </c>
      <c r="V6" s="6"/>
      <c r="W6" s="116" t="s">
        <v>97</v>
      </c>
      <c r="X6" s="71" t="s">
        <v>98</v>
      </c>
      <c r="Y6" s="117" t="s">
        <v>99</v>
      </c>
    </row>
    <row r="7" spans="2:25" ht="14.25">
      <c r="B7" s="86">
        <v>1</v>
      </c>
      <c r="C7" s="49">
        <v>5755</v>
      </c>
      <c r="D7" s="50" t="str">
        <f aca="true" t="shared" si="0" ref="D7:D25">IF(ISBLANK(C7),"",VLOOKUP(C7,各艇データ,2,FALSE))</f>
        <v>ランカ</v>
      </c>
      <c r="E7" s="51">
        <f aca="true" t="shared" si="1" ref="E7:E25">IF(ISBLANK(C7),"",VLOOKUP(C7,各艇データ,3,FALSE))</f>
        <v>7.789</v>
      </c>
      <c r="F7" s="52">
        <v>9</v>
      </c>
      <c r="G7" s="8">
        <v>0.4525115740740741</v>
      </c>
      <c r="H7" s="49">
        <f aca="true" t="shared" si="2" ref="H7:H25">_xlfn.IFERROR(IF(G7-$Q$2&lt;=0,"",(G7-$Q$2)*86400),"")</f>
        <v>3097.0000000000014</v>
      </c>
      <c r="I7" s="93">
        <f aca="true" t="shared" si="3" ref="I7:I25">IF($I$6="Ⅰ",S7,IF($I$6="Ⅱ",T7,IF($I$6="Ⅲ",U7,"")))</f>
        <v>587.4</v>
      </c>
      <c r="J7" s="51"/>
      <c r="K7" s="54">
        <f aca="true" t="shared" si="4" ref="K7:K25">_xlfn.IFERROR(H7*(1+0.01*J7)-I7*$N$3,"")</f>
        <v>-427.3999999999983</v>
      </c>
      <c r="L7" s="8">
        <f aca="true" t="shared" si="5" ref="L7:L25">_xlfn.IFERROR((K7-$K$7)/86400,"")</f>
        <v>0</v>
      </c>
      <c r="M7" s="55">
        <f>_xlfn.IFERROR((K7-$K$7)/$N$3,"")</f>
        <v>0</v>
      </c>
      <c r="N7" s="56">
        <f aca="true" t="shared" si="6" ref="N7:N18">_xlfn.IFERROR($N$3/(H7/3600),"")</f>
        <v>6.974491443332254</v>
      </c>
      <c r="O7" s="89">
        <f>ROUND(IF($O$6="MAX=20",W7,IF($O$6="MAX=30",X7,IF($O$6="MAX=40",Y7,""))),1)</f>
        <v>20</v>
      </c>
      <c r="P7" s="140"/>
      <c r="Q7" s="57"/>
      <c r="R7" s="5"/>
      <c r="S7" s="118">
        <f aca="true" t="shared" si="7" ref="S7:S31">IF(ISBLANK(C7),"",VLOOKUP(C7,各艇データ,4,FALSE))</f>
        <v>830.8</v>
      </c>
      <c r="T7" s="53">
        <f aca="true" t="shared" si="8" ref="T7:T31">IF(ISBLANK(C7),"",VLOOKUP(C7,各艇データ,5,FALSE))</f>
        <v>587.4</v>
      </c>
      <c r="U7" s="119">
        <f aca="true" t="shared" si="9" ref="U7:U31">IF(ISBLANK(C7),"",VLOOKUP(C7,各艇データ,6,FALSE))</f>
        <v>472.9</v>
      </c>
      <c r="V7" s="5"/>
      <c r="W7" s="123">
        <f>IF(ISBLANK(B7),"",_xlfn.IFERROR(20*($P$3+1-$B7)/$P$3,"20.0"))</f>
        <v>20</v>
      </c>
      <c r="X7" s="89">
        <f>IF(ISBLANK(B7),"",_xlfn.IFERROR(30*($P$3+1-$B7)/$P$3,"30.0"))</f>
        <v>30</v>
      </c>
      <c r="Y7" s="124">
        <f>IF(ISBLANK(B7),"",_xlfn.IFERROR(30*($P$3-$B7)/($P$3-1)+10,"20.0"))</f>
        <v>40</v>
      </c>
    </row>
    <row r="8" spans="2:25" ht="14.25">
      <c r="B8" s="87">
        <v>2</v>
      </c>
      <c r="C8" s="14">
        <v>346</v>
      </c>
      <c r="D8" s="58" t="str">
        <f t="shared" si="0"/>
        <v>飛車角</v>
      </c>
      <c r="E8" s="15">
        <f t="shared" si="1"/>
        <v>8.495</v>
      </c>
      <c r="F8" s="59">
        <v>5</v>
      </c>
      <c r="G8" s="10">
        <v>0.4511921296296297</v>
      </c>
      <c r="H8" s="14">
        <f t="shared" si="2"/>
        <v>2983.0000000000027</v>
      </c>
      <c r="I8" s="144">
        <f t="shared" si="3"/>
        <v>567.3</v>
      </c>
      <c r="J8" s="15"/>
      <c r="K8" s="27">
        <f t="shared" si="4"/>
        <v>-420.799999999997</v>
      </c>
      <c r="L8" s="10">
        <f t="shared" si="5"/>
        <v>7.638888888890363E-05</v>
      </c>
      <c r="M8" s="60">
        <f>_xlfn.IFERROR((K8-$K$7)/$N$3,"")</f>
        <v>1.1000000000002121</v>
      </c>
      <c r="N8" s="61">
        <f t="shared" si="6"/>
        <v>7.241032517599725</v>
      </c>
      <c r="O8" s="90">
        <f aca="true" t="shared" si="10" ref="O8:O17">ROUND(IF($O$6="MAX=20",W8,IF($O$6="MAX=30",X8,IF($O$6="MAX=40",Y8,""))),1)</f>
        <v>18.9</v>
      </c>
      <c r="P8" s="141"/>
      <c r="Q8" s="62"/>
      <c r="R8" s="5"/>
      <c r="S8" s="118">
        <f t="shared" si="7"/>
        <v>803.2</v>
      </c>
      <c r="T8" s="53">
        <f t="shared" si="8"/>
        <v>567.3</v>
      </c>
      <c r="U8" s="119">
        <f t="shared" si="9"/>
        <v>456</v>
      </c>
      <c r="V8" s="5"/>
      <c r="W8" s="123">
        <f aca="true" t="shared" si="11" ref="W8:W31">IF(ISBLANK(B8),"",_xlfn.IFERROR(20*($P$3+1-$B8)/$P$3,"20.0"))</f>
        <v>18.94736842105263</v>
      </c>
      <c r="X8" s="89">
        <f aca="true" t="shared" si="12" ref="X8:X31">IF(ISBLANK(B8),"",_xlfn.IFERROR(30*($P$3+1-$B8)/$P$3,"30.0"))</f>
        <v>28.42105263157895</v>
      </c>
      <c r="Y8" s="124">
        <f aca="true" t="shared" si="13" ref="Y8:Y31">IF(ISBLANK(B8),"",_xlfn.IFERROR(30*($P$3-$B8)/($P$3-1)+10,"20.0"))</f>
        <v>38.33333333333333</v>
      </c>
    </row>
    <row r="9" spans="2:25" ht="14.25">
      <c r="B9" s="87">
        <v>3</v>
      </c>
      <c r="C9" s="14">
        <v>4469</v>
      </c>
      <c r="D9" s="58" t="str">
        <f t="shared" si="0"/>
        <v>未央</v>
      </c>
      <c r="E9" s="15">
        <f t="shared" si="1"/>
        <v>7.011</v>
      </c>
      <c r="F9" s="59">
        <v>14</v>
      </c>
      <c r="G9" s="10">
        <v>0.4544328703703704</v>
      </c>
      <c r="H9" s="14">
        <f t="shared" si="2"/>
        <v>3263</v>
      </c>
      <c r="I9" s="144">
        <f t="shared" si="3"/>
        <v>612.6</v>
      </c>
      <c r="J9" s="15"/>
      <c r="K9" s="27">
        <f t="shared" si="4"/>
        <v>-412.60000000000036</v>
      </c>
      <c r="L9" s="10">
        <f t="shared" si="5"/>
        <v>0.00017129629629627209</v>
      </c>
      <c r="M9" s="60">
        <f>_xlfn.IFERROR((K9-$K$7)/$N$3,"")</f>
        <v>2.466666666666318</v>
      </c>
      <c r="N9" s="61">
        <f t="shared" si="6"/>
        <v>6.61967514557156</v>
      </c>
      <c r="O9" s="90">
        <f t="shared" si="10"/>
        <v>17.9</v>
      </c>
      <c r="P9" s="141"/>
      <c r="Q9" s="62"/>
      <c r="R9" s="5"/>
      <c r="S9" s="118">
        <f t="shared" si="7"/>
        <v>865.6</v>
      </c>
      <c r="T9" s="53">
        <f t="shared" si="8"/>
        <v>612.6</v>
      </c>
      <c r="U9" s="119">
        <f t="shared" si="9"/>
        <v>494.3</v>
      </c>
      <c r="V9" s="5"/>
      <c r="W9" s="123">
        <f t="shared" si="11"/>
        <v>17.894736842105264</v>
      </c>
      <c r="X9" s="89">
        <f t="shared" si="12"/>
        <v>26.842105263157894</v>
      </c>
      <c r="Y9" s="124">
        <f t="shared" si="13"/>
        <v>36.66666666666667</v>
      </c>
    </row>
    <row r="10" spans="2:25" ht="14.25">
      <c r="B10" s="87">
        <v>4</v>
      </c>
      <c r="C10" s="14">
        <v>1733</v>
      </c>
      <c r="D10" s="58" t="str">
        <f t="shared" si="0"/>
        <v>ケロニア</v>
      </c>
      <c r="E10" s="15">
        <f t="shared" si="1"/>
        <v>9.515</v>
      </c>
      <c r="F10" s="59">
        <v>2</v>
      </c>
      <c r="G10" s="10">
        <v>0.44961805555555556</v>
      </c>
      <c r="H10" s="14">
        <f t="shared" si="2"/>
        <v>2846.999999999999</v>
      </c>
      <c r="I10" s="144">
        <f t="shared" si="3"/>
        <v>542.1</v>
      </c>
      <c r="J10" s="15"/>
      <c r="K10" s="27">
        <f t="shared" si="4"/>
        <v>-405.6000000000013</v>
      </c>
      <c r="L10" s="10">
        <f t="shared" si="5"/>
        <v>0.00025231481481478006</v>
      </c>
      <c r="M10" s="60">
        <f>_xlfn.IFERROR((K10-$K$7)/$N$3,"")</f>
        <v>3.6333333333328333</v>
      </c>
      <c r="N10" s="61">
        <f t="shared" si="6"/>
        <v>7.586933614330877</v>
      </c>
      <c r="O10" s="90">
        <f t="shared" si="10"/>
        <v>16.8</v>
      </c>
      <c r="P10" s="141"/>
      <c r="Q10" s="62"/>
      <c r="R10" s="5"/>
      <c r="S10" s="118">
        <f t="shared" si="7"/>
        <v>768.4</v>
      </c>
      <c r="T10" s="53">
        <f t="shared" si="8"/>
        <v>542.1</v>
      </c>
      <c r="U10" s="119">
        <f t="shared" si="9"/>
        <v>434.8</v>
      </c>
      <c r="V10" s="5"/>
      <c r="W10" s="123">
        <f t="shared" si="11"/>
        <v>16.842105263157894</v>
      </c>
      <c r="X10" s="89">
        <f t="shared" si="12"/>
        <v>25.263157894736842</v>
      </c>
      <c r="Y10" s="124">
        <f t="shared" si="13"/>
        <v>35</v>
      </c>
    </row>
    <row r="11" spans="2:25" ht="14.25">
      <c r="B11" s="88">
        <v>5</v>
      </c>
      <c r="C11" s="16">
        <v>162</v>
      </c>
      <c r="D11" s="63" t="str">
        <f t="shared" si="0"/>
        <v>ﾌｪﾆｯｸｽ</v>
      </c>
      <c r="E11" s="17">
        <f t="shared" si="1"/>
        <v>6.838</v>
      </c>
      <c r="F11" s="64">
        <v>16</v>
      </c>
      <c r="G11" s="12">
        <v>0.455</v>
      </c>
      <c r="H11" s="152">
        <f t="shared" si="2"/>
        <v>3311.9999999999995</v>
      </c>
      <c r="I11" s="159">
        <f t="shared" si="3"/>
        <v>618.7</v>
      </c>
      <c r="J11" s="153"/>
      <c r="K11" s="154">
        <f t="shared" si="4"/>
        <v>-400.2000000000007</v>
      </c>
      <c r="L11" s="155">
        <f t="shared" si="5"/>
        <v>0.0003148148148147864</v>
      </c>
      <c r="M11" s="156">
        <f aca="true" t="shared" si="14" ref="M11:M18">_xlfn.IFERROR((K11-$K$7)/$N$3,"")</f>
        <v>4.533333333332924</v>
      </c>
      <c r="N11" s="157">
        <f t="shared" si="6"/>
        <v>6.521739130434783</v>
      </c>
      <c r="O11" s="158">
        <f t="shared" si="10"/>
        <v>15.8</v>
      </c>
      <c r="P11" s="142"/>
      <c r="Q11" s="67"/>
      <c r="R11" s="5"/>
      <c r="S11" s="118">
        <f t="shared" si="7"/>
        <v>874.1</v>
      </c>
      <c r="T11" s="53">
        <f t="shared" si="8"/>
        <v>618.7</v>
      </c>
      <c r="U11" s="119">
        <f t="shared" si="9"/>
        <v>499.5</v>
      </c>
      <c r="V11" s="5"/>
      <c r="W11" s="123">
        <f t="shared" si="11"/>
        <v>15.789473684210526</v>
      </c>
      <c r="X11" s="89">
        <f t="shared" si="12"/>
        <v>23.68421052631579</v>
      </c>
      <c r="Y11" s="124">
        <f t="shared" si="13"/>
        <v>33.33333333333333</v>
      </c>
    </row>
    <row r="12" spans="2:25" ht="14.25">
      <c r="B12" s="86">
        <v>6</v>
      </c>
      <c r="C12" s="49">
        <v>5752</v>
      </c>
      <c r="D12" s="50" t="str">
        <f t="shared" si="0"/>
        <v>アルファ</v>
      </c>
      <c r="E12" s="51">
        <f t="shared" si="1"/>
        <v>10.394</v>
      </c>
      <c r="F12" s="52">
        <v>1</v>
      </c>
      <c r="G12" s="8">
        <v>0.44837962962962963</v>
      </c>
      <c r="H12" s="49">
        <f t="shared" si="2"/>
        <v>2739.999999999998</v>
      </c>
      <c r="I12" s="93">
        <f t="shared" si="3"/>
        <v>523.3</v>
      </c>
      <c r="J12" s="113"/>
      <c r="K12" s="54">
        <f t="shared" si="4"/>
        <v>-399.80000000000155</v>
      </c>
      <c r="L12" s="8">
        <f t="shared" si="5"/>
        <v>0.00031944444444440657</v>
      </c>
      <c r="M12" s="55">
        <f t="shared" si="14"/>
        <v>4.599999999999454</v>
      </c>
      <c r="N12" s="56">
        <f t="shared" si="6"/>
        <v>7.883211678832121</v>
      </c>
      <c r="O12" s="89">
        <f t="shared" si="10"/>
        <v>14.7</v>
      </c>
      <c r="P12" s="140"/>
      <c r="Q12" s="57"/>
      <c r="R12" s="5"/>
      <c r="S12" s="118">
        <f t="shared" si="7"/>
        <v>742.4</v>
      </c>
      <c r="T12" s="53">
        <f t="shared" si="8"/>
        <v>523.3</v>
      </c>
      <c r="U12" s="119">
        <f t="shared" si="9"/>
        <v>419</v>
      </c>
      <c r="V12" s="5"/>
      <c r="W12" s="123">
        <f t="shared" si="11"/>
        <v>14.736842105263158</v>
      </c>
      <c r="X12" s="89">
        <f t="shared" si="12"/>
        <v>22.105263157894736</v>
      </c>
      <c r="Y12" s="124">
        <f t="shared" si="13"/>
        <v>31.666666666666668</v>
      </c>
    </row>
    <row r="13" spans="2:25" ht="14.25">
      <c r="B13" s="87">
        <v>7</v>
      </c>
      <c r="C13" s="14">
        <v>321</v>
      </c>
      <c r="D13" s="58" t="str">
        <f t="shared" si="0"/>
        <v>かまくら</v>
      </c>
      <c r="E13" s="15">
        <f t="shared" si="1"/>
        <v>9.242</v>
      </c>
      <c r="F13" s="59">
        <v>3</v>
      </c>
      <c r="G13" s="10">
        <v>0.4501967592592593</v>
      </c>
      <c r="H13" s="14">
        <f t="shared" si="2"/>
        <v>2897.0000000000005</v>
      </c>
      <c r="I13" s="144">
        <f t="shared" si="3"/>
        <v>548.5</v>
      </c>
      <c r="J13" s="15"/>
      <c r="K13" s="27">
        <f t="shared" si="4"/>
        <v>-393.99999999999955</v>
      </c>
      <c r="L13" s="10">
        <f t="shared" si="5"/>
        <v>0.0003865740740740593</v>
      </c>
      <c r="M13" s="60">
        <f t="shared" si="14"/>
        <v>5.566666666666454</v>
      </c>
      <c r="N13" s="61">
        <f t="shared" si="6"/>
        <v>7.455988954090437</v>
      </c>
      <c r="O13" s="90">
        <f t="shared" si="10"/>
        <v>13.7</v>
      </c>
      <c r="P13" s="141"/>
      <c r="Q13" s="62"/>
      <c r="R13" s="5"/>
      <c r="S13" s="118">
        <f t="shared" si="7"/>
        <v>777.2</v>
      </c>
      <c r="T13" s="53">
        <f t="shared" si="8"/>
        <v>548.5</v>
      </c>
      <c r="U13" s="119">
        <f t="shared" si="9"/>
        <v>440.1</v>
      </c>
      <c r="V13" s="5"/>
      <c r="W13" s="123">
        <f t="shared" si="11"/>
        <v>13.68421052631579</v>
      </c>
      <c r="X13" s="89">
        <f t="shared" si="12"/>
        <v>20.526315789473685</v>
      </c>
      <c r="Y13" s="124">
        <f t="shared" si="13"/>
        <v>30</v>
      </c>
    </row>
    <row r="14" spans="2:25" ht="14.25">
      <c r="B14" s="87">
        <v>8</v>
      </c>
      <c r="C14" s="14">
        <v>131</v>
      </c>
      <c r="D14" s="58" t="str">
        <f t="shared" si="0"/>
        <v>ふるたか</v>
      </c>
      <c r="E14" s="15">
        <f t="shared" si="1"/>
        <v>8.317</v>
      </c>
      <c r="F14" s="59">
        <v>8</v>
      </c>
      <c r="G14" s="10">
        <v>0.45192129629629635</v>
      </c>
      <c r="H14" s="14">
        <f t="shared" si="2"/>
        <v>3046.0000000000027</v>
      </c>
      <c r="I14" s="144">
        <f t="shared" si="3"/>
        <v>572.1</v>
      </c>
      <c r="J14" s="15"/>
      <c r="K14" s="27">
        <f t="shared" si="4"/>
        <v>-386.59999999999764</v>
      </c>
      <c r="L14" s="10">
        <f t="shared" si="5"/>
        <v>0.0004722222222222296</v>
      </c>
      <c r="M14" s="60">
        <f t="shared" si="14"/>
        <v>6.800000000000106</v>
      </c>
      <c r="N14" s="61">
        <f t="shared" si="6"/>
        <v>7.091267235718969</v>
      </c>
      <c r="O14" s="90">
        <f t="shared" si="10"/>
        <v>12.6</v>
      </c>
      <c r="P14" s="141"/>
      <c r="Q14" s="62"/>
      <c r="R14" s="5"/>
      <c r="S14" s="118">
        <f t="shared" si="7"/>
        <v>809.8</v>
      </c>
      <c r="T14" s="53">
        <f t="shared" si="8"/>
        <v>572.1</v>
      </c>
      <c r="U14" s="119">
        <f t="shared" si="9"/>
        <v>460.1</v>
      </c>
      <c r="V14" s="5"/>
      <c r="W14" s="123">
        <f t="shared" si="11"/>
        <v>12.631578947368421</v>
      </c>
      <c r="X14" s="89">
        <f t="shared" si="12"/>
        <v>18.94736842105263</v>
      </c>
      <c r="Y14" s="124">
        <f t="shared" si="13"/>
        <v>28.333333333333332</v>
      </c>
    </row>
    <row r="15" spans="2:25" ht="14.25">
      <c r="B15" s="87">
        <v>9</v>
      </c>
      <c r="C15" s="14">
        <v>1611</v>
      </c>
      <c r="D15" s="58" t="str">
        <f t="shared" si="0"/>
        <v>ﾈﾌﾟﾁｭｰﾝXⅡ</v>
      </c>
      <c r="E15" s="15">
        <f t="shared" si="1"/>
        <v>8.438</v>
      </c>
      <c r="F15" s="59">
        <v>7</v>
      </c>
      <c r="G15" s="10">
        <v>0.45175925925925925</v>
      </c>
      <c r="H15" s="14">
        <f t="shared" si="2"/>
        <v>3031.9999999999977</v>
      </c>
      <c r="I15" s="144">
        <f t="shared" si="3"/>
        <v>568.8</v>
      </c>
      <c r="J15" s="15"/>
      <c r="K15" s="27">
        <f t="shared" si="4"/>
        <v>-380.800000000002</v>
      </c>
      <c r="L15" s="10">
        <f t="shared" si="5"/>
        <v>0.0005393518518518087</v>
      </c>
      <c r="M15" s="60">
        <f t="shared" si="14"/>
        <v>7.766666666666045</v>
      </c>
      <c r="N15" s="61">
        <f t="shared" si="6"/>
        <v>7.124010554089716</v>
      </c>
      <c r="O15" s="90">
        <f t="shared" si="10"/>
        <v>11.6</v>
      </c>
      <c r="P15" s="141"/>
      <c r="Q15" s="62"/>
      <c r="R15" s="5"/>
      <c r="S15" s="118">
        <f t="shared" si="7"/>
        <v>805.3</v>
      </c>
      <c r="T15" s="53">
        <f t="shared" si="8"/>
        <v>568.8</v>
      </c>
      <c r="U15" s="119">
        <f t="shared" si="9"/>
        <v>457.3</v>
      </c>
      <c r="V15" s="5"/>
      <c r="W15" s="123">
        <f t="shared" si="11"/>
        <v>11.578947368421053</v>
      </c>
      <c r="X15" s="89">
        <f t="shared" si="12"/>
        <v>17.36842105263158</v>
      </c>
      <c r="Y15" s="124">
        <f t="shared" si="13"/>
        <v>26.666666666666668</v>
      </c>
    </row>
    <row r="16" spans="2:25" ht="14.25">
      <c r="B16" s="88">
        <v>10</v>
      </c>
      <c r="C16" s="16">
        <v>2212</v>
      </c>
      <c r="D16" s="63" t="str">
        <f t="shared" si="0"/>
        <v>衣笠</v>
      </c>
      <c r="E16" s="17">
        <f t="shared" si="1"/>
        <v>8.952</v>
      </c>
      <c r="F16" s="64">
        <v>4</v>
      </c>
      <c r="G16" s="12">
        <v>0.4510648148148148</v>
      </c>
      <c r="H16" s="16">
        <f t="shared" si="2"/>
        <v>2971.9999999999977</v>
      </c>
      <c r="I16" s="96">
        <f t="shared" si="3"/>
        <v>555.5</v>
      </c>
      <c r="J16" s="370"/>
      <c r="K16" s="28">
        <f t="shared" si="4"/>
        <v>-361.0000000000023</v>
      </c>
      <c r="L16" s="12">
        <f t="shared" si="5"/>
        <v>0.0007685185185184722</v>
      </c>
      <c r="M16" s="65">
        <f t="shared" si="14"/>
        <v>11.066666666666</v>
      </c>
      <c r="N16" s="66">
        <f t="shared" si="6"/>
        <v>7.267833109017502</v>
      </c>
      <c r="O16" s="91">
        <f t="shared" si="10"/>
        <v>10.5</v>
      </c>
      <c r="P16" s="142"/>
      <c r="Q16" s="67"/>
      <c r="R16" s="5"/>
      <c r="S16" s="118">
        <f t="shared" si="7"/>
        <v>786.9</v>
      </c>
      <c r="T16" s="53">
        <f t="shared" si="8"/>
        <v>555.5</v>
      </c>
      <c r="U16" s="119">
        <f t="shared" si="9"/>
        <v>446.1</v>
      </c>
      <c r="V16" s="5"/>
      <c r="W16" s="123">
        <f t="shared" si="11"/>
        <v>10.526315789473685</v>
      </c>
      <c r="X16" s="89">
        <f t="shared" si="12"/>
        <v>15.789473684210526</v>
      </c>
      <c r="Y16" s="124">
        <f t="shared" si="13"/>
        <v>25</v>
      </c>
    </row>
    <row r="17" spans="2:25" ht="14.25">
      <c r="B17" s="86">
        <v>11</v>
      </c>
      <c r="C17" s="49">
        <v>4323</v>
      </c>
      <c r="D17" s="50" t="str">
        <f t="shared" si="0"/>
        <v>飛天</v>
      </c>
      <c r="E17" s="51">
        <f t="shared" si="1"/>
        <v>7.084</v>
      </c>
      <c r="F17" s="52">
        <v>15</v>
      </c>
      <c r="G17" s="8">
        <v>0.4549652777777778</v>
      </c>
      <c r="H17" s="18">
        <f t="shared" si="2"/>
        <v>3308.999999999999</v>
      </c>
      <c r="I17" s="160">
        <f t="shared" si="3"/>
        <v>610.1</v>
      </c>
      <c r="J17" s="146"/>
      <c r="K17" s="147">
        <f t="shared" si="4"/>
        <v>-351.6000000000013</v>
      </c>
      <c r="L17" s="13">
        <f t="shared" si="5"/>
        <v>0.0008773148148147801</v>
      </c>
      <c r="M17" s="100">
        <f t="shared" si="14"/>
        <v>12.633333333332834</v>
      </c>
      <c r="N17" s="101">
        <f t="shared" si="6"/>
        <v>6.527651858567545</v>
      </c>
      <c r="O17" s="148">
        <f t="shared" si="10"/>
        <v>9.5</v>
      </c>
      <c r="P17" s="140"/>
      <c r="Q17" s="57"/>
      <c r="R17" s="5"/>
      <c r="S17" s="118">
        <f t="shared" si="7"/>
        <v>862.1</v>
      </c>
      <c r="T17" s="53">
        <f t="shared" si="8"/>
        <v>610.1</v>
      </c>
      <c r="U17" s="119">
        <f t="shared" si="9"/>
        <v>492.2</v>
      </c>
      <c r="V17" s="5"/>
      <c r="W17" s="123">
        <f t="shared" si="11"/>
        <v>9.473684210526315</v>
      </c>
      <c r="X17" s="89">
        <f t="shared" si="12"/>
        <v>14.210526315789474</v>
      </c>
      <c r="Y17" s="124">
        <f t="shared" si="13"/>
        <v>23.333333333333336</v>
      </c>
    </row>
    <row r="18" spans="2:25" ht="14.25">
      <c r="B18" s="87">
        <v>12</v>
      </c>
      <c r="C18" s="14">
        <v>2759</v>
      </c>
      <c r="D18" s="58" t="str">
        <f t="shared" si="0"/>
        <v>イクソラⅢ</v>
      </c>
      <c r="E18" s="15">
        <f t="shared" si="1"/>
        <v>6.679</v>
      </c>
      <c r="F18" s="59">
        <v>18</v>
      </c>
      <c r="G18" s="10">
        <v>0.4560416666666667</v>
      </c>
      <c r="H18" s="14">
        <f t="shared" si="2"/>
        <v>3401.9999999999995</v>
      </c>
      <c r="I18" s="144">
        <f t="shared" si="3"/>
        <v>624.6</v>
      </c>
      <c r="J18" s="15"/>
      <c r="K18" s="27">
        <f t="shared" si="4"/>
        <v>-345.6000000000008</v>
      </c>
      <c r="L18" s="10">
        <f t="shared" si="5"/>
        <v>0.0009467592592592298</v>
      </c>
      <c r="M18" s="60">
        <f t="shared" si="14"/>
        <v>13.633333333332908</v>
      </c>
      <c r="N18" s="61">
        <f t="shared" si="6"/>
        <v>6.349206349206351</v>
      </c>
      <c r="O18" s="90">
        <f>ROUND(IF($O$6="MAX=20",W18,IF($O$6="MAX=30",X18,IF($O$6="MAX=40",Y18,""))),1)</f>
        <v>8.4</v>
      </c>
      <c r="P18" s="141"/>
      <c r="Q18" s="62"/>
      <c r="R18" s="5"/>
      <c r="S18" s="118">
        <f t="shared" si="7"/>
        <v>882.1</v>
      </c>
      <c r="T18" s="53">
        <f t="shared" si="8"/>
        <v>624.6</v>
      </c>
      <c r="U18" s="119">
        <f t="shared" si="9"/>
        <v>504.5</v>
      </c>
      <c r="V18" s="5"/>
      <c r="W18" s="123">
        <f t="shared" si="11"/>
        <v>8.421052631578947</v>
      </c>
      <c r="X18" s="89">
        <f t="shared" si="12"/>
        <v>12.631578947368421</v>
      </c>
      <c r="Y18" s="124">
        <f t="shared" si="13"/>
        <v>21.666666666666664</v>
      </c>
    </row>
    <row r="19" spans="2:25" ht="14.25">
      <c r="B19" s="87">
        <v>13</v>
      </c>
      <c r="C19" s="14">
        <v>6714</v>
      </c>
      <c r="D19" s="58" t="str">
        <f t="shared" si="0"/>
        <v>HAURAKI</v>
      </c>
      <c r="E19" s="15">
        <f t="shared" si="1"/>
        <v>9.218</v>
      </c>
      <c r="F19" s="59">
        <v>6</v>
      </c>
      <c r="G19" s="10">
        <v>0.4514699074074074</v>
      </c>
      <c r="H19" s="14">
        <f t="shared" si="2"/>
        <v>3006.999999999997</v>
      </c>
      <c r="I19" s="144">
        <f t="shared" si="3"/>
        <v>549.1</v>
      </c>
      <c r="J19" s="15"/>
      <c r="K19" s="27">
        <f t="shared" si="4"/>
        <v>-287.60000000000355</v>
      </c>
      <c r="L19" s="10">
        <f t="shared" si="5"/>
        <v>0.0016180555555554946</v>
      </c>
      <c r="M19" s="60">
        <f aca="true" t="shared" si="15" ref="M19:M25">_xlfn.IFERROR((K19-$K$7)/$N$3,"")</f>
        <v>23.29999999999912</v>
      </c>
      <c r="N19" s="61">
        <f aca="true" t="shared" si="16" ref="N19:N25">_xlfn.IFERROR($N$3/(H19/3600),"")</f>
        <v>7.183239108746267</v>
      </c>
      <c r="O19" s="90">
        <f aca="true" t="shared" si="17" ref="O19:O25">ROUND(IF($O$6="MAX=20",W19,IF($O$6="MAX=30",X19,IF($O$6="MAX=40",Y19,""))),1)</f>
        <v>7.4</v>
      </c>
      <c r="P19" s="141"/>
      <c r="Q19" s="62"/>
      <c r="R19" s="5"/>
      <c r="S19" s="118">
        <f t="shared" si="7"/>
        <v>778</v>
      </c>
      <c r="T19" s="53">
        <f t="shared" si="8"/>
        <v>549.1</v>
      </c>
      <c r="U19" s="119">
        <f t="shared" si="9"/>
        <v>440.6</v>
      </c>
      <c r="V19" s="5"/>
      <c r="W19" s="123">
        <f t="shared" si="11"/>
        <v>7.368421052631579</v>
      </c>
      <c r="X19" s="89">
        <f t="shared" si="12"/>
        <v>11.052631578947368</v>
      </c>
      <c r="Y19" s="124">
        <f t="shared" si="13"/>
        <v>20</v>
      </c>
    </row>
    <row r="20" spans="2:25" ht="14.25">
      <c r="B20" s="87">
        <v>14</v>
      </c>
      <c r="C20" s="14">
        <v>4400</v>
      </c>
      <c r="D20" s="58" t="str">
        <f t="shared" si="0"/>
        <v>アイデアル</v>
      </c>
      <c r="E20" s="15">
        <f t="shared" si="1"/>
        <v>7.836</v>
      </c>
      <c r="F20" s="59">
        <v>13</v>
      </c>
      <c r="G20" s="10">
        <v>0.45406250000000004</v>
      </c>
      <c r="H20" s="14">
        <f t="shared" si="2"/>
        <v>3231.0000000000014</v>
      </c>
      <c r="I20" s="144">
        <f t="shared" si="3"/>
        <v>585.9</v>
      </c>
      <c r="J20" s="15"/>
      <c r="K20" s="27">
        <f t="shared" si="4"/>
        <v>-284.3999999999983</v>
      </c>
      <c r="L20" s="10">
        <f t="shared" si="5"/>
        <v>0.0016550925925925926</v>
      </c>
      <c r="M20" s="60">
        <f t="shared" si="15"/>
        <v>23.833333333333332</v>
      </c>
      <c r="N20" s="61">
        <f t="shared" si="16"/>
        <v>6.685236768802225</v>
      </c>
      <c r="O20" s="90">
        <f t="shared" si="17"/>
        <v>6.3</v>
      </c>
      <c r="P20" s="141"/>
      <c r="Q20" s="62"/>
      <c r="R20" s="5"/>
      <c r="S20" s="118">
        <f t="shared" si="7"/>
        <v>828.9</v>
      </c>
      <c r="T20" s="53">
        <f t="shared" si="8"/>
        <v>585.9</v>
      </c>
      <c r="U20" s="119">
        <f t="shared" si="9"/>
        <v>471.7</v>
      </c>
      <c r="V20" s="5"/>
      <c r="W20" s="123">
        <f t="shared" si="11"/>
        <v>6.315789473684211</v>
      </c>
      <c r="X20" s="89">
        <f t="shared" si="12"/>
        <v>9.473684210526315</v>
      </c>
      <c r="Y20" s="124">
        <f t="shared" si="13"/>
        <v>18.333333333333336</v>
      </c>
    </row>
    <row r="21" spans="2:25" ht="14.25">
      <c r="B21" s="88">
        <v>15</v>
      </c>
      <c r="C21" s="16">
        <v>5496</v>
      </c>
      <c r="D21" s="63" t="str">
        <f t="shared" si="0"/>
        <v>桜工</v>
      </c>
      <c r="E21" s="17">
        <f t="shared" si="1"/>
        <v>8.56</v>
      </c>
      <c r="F21" s="64">
        <v>11</v>
      </c>
      <c r="G21" s="12">
        <v>0.4532986111111111</v>
      </c>
      <c r="H21" s="152">
        <f t="shared" si="2"/>
        <v>3164.999999999996</v>
      </c>
      <c r="I21" s="159">
        <f t="shared" si="3"/>
        <v>565.6</v>
      </c>
      <c r="J21" s="153"/>
      <c r="K21" s="154">
        <f t="shared" si="4"/>
        <v>-228.60000000000446</v>
      </c>
      <c r="L21" s="155">
        <f t="shared" si="5"/>
        <v>0.0023009259259258543</v>
      </c>
      <c r="M21" s="156">
        <f t="shared" si="15"/>
        <v>33.1333333333323</v>
      </c>
      <c r="N21" s="157">
        <f t="shared" si="16"/>
        <v>6.8246445497630415</v>
      </c>
      <c r="O21" s="158">
        <f t="shared" si="17"/>
        <v>5.3</v>
      </c>
      <c r="P21" s="142"/>
      <c r="Q21" s="67"/>
      <c r="R21" s="5"/>
      <c r="S21" s="118">
        <f t="shared" si="7"/>
        <v>800.8</v>
      </c>
      <c r="T21" s="53">
        <f t="shared" si="8"/>
        <v>565.6</v>
      </c>
      <c r="U21" s="119">
        <f t="shared" si="9"/>
        <v>454.5</v>
      </c>
      <c r="V21" s="5"/>
      <c r="W21" s="123">
        <f t="shared" si="11"/>
        <v>5.2631578947368425</v>
      </c>
      <c r="X21" s="89">
        <f t="shared" si="12"/>
        <v>7.894736842105263</v>
      </c>
      <c r="Y21" s="124">
        <f t="shared" si="13"/>
        <v>16.666666666666668</v>
      </c>
    </row>
    <row r="22" spans="2:25" ht="14.25">
      <c r="B22" s="98">
        <v>16</v>
      </c>
      <c r="C22" s="18">
        <v>1545</v>
      </c>
      <c r="D22" s="50" t="str">
        <f t="shared" si="0"/>
        <v>ﾌﾘｰﾄﾞﾘｽⅦ</v>
      </c>
      <c r="E22" s="51">
        <f t="shared" si="1"/>
        <v>8.59</v>
      </c>
      <c r="F22" s="99">
        <v>12</v>
      </c>
      <c r="G22" s="13">
        <v>0.4533564814814815</v>
      </c>
      <c r="H22" s="49">
        <f t="shared" si="2"/>
        <v>3170</v>
      </c>
      <c r="I22" s="93">
        <f t="shared" si="3"/>
        <v>564.8</v>
      </c>
      <c r="J22" s="51"/>
      <c r="K22" s="54">
        <f t="shared" si="4"/>
        <v>-218.79999999999973</v>
      </c>
      <c r="L22" s="8">
        <f t="shared" si="5"/>
        <v>0.002414351851851835</v>
      </c>
      <c r="M22" s="55">
        <f t="shared" si="15"/>
        <v>34.766666666666424</v>
      </c>
      <c r="N22" s="56">
        <f t="shared" si="16"/>
        <v>6.813880126182966</v>
      </c>
      <c r="O22" s="89">
        <f t="shared" si="17"/>
        <v>4.2</v>
      </c>
      <c r="P22" s="143"/>
      <c r="Q22" s="102"/>
      <c r="R22" s="5"/>
      <c r="S22" s="118">
        <f t="shared" si="7"/>
        <v>799.7</v>
      </c>
      <c r="T22" s="53">
        <f t="shared" si="8"/>
        <v>564.8</v>
      </c>
      <c r="U22" s="119">
        <f t="shared" si="9"/>
        <v>453.9</v>
      </c>
      <c r="V22" s="5"/>
      <c r="W22" s="123">
        <f t="shared" si="11"/>
        <v>4.2105263157894735</v>
      </c>
      <c r="X22" s="89">
        <f t="shared" si="12"/>
        <v>6.315789473684211</v>
      </c>
      <c r="Y22" s="124">
        <f t="shared" si="13"/>
        <v>15</v>
      </c>
    </row>
    <row r="23" spans="2:25" ht="14.25">
      <c r="B23" s="87">
        <v>17</v>
      </c>
      <c r="C23" s="85">
        <v>3387</v>
      </c>
      <c r="D23" s="58" t="str">
        <f t="shared" si="0"/>
        <v>BASIC</v>
      </c>
      <c r="E23" s="15">
        <f t="shared" si="1"/>
        <v>8.582</v>
      </c>
      <c r="F23" s="59">
        <v>10</v>
      </c>
      <c r="G23" s="10">
        <v>0.4535648148148148</v>
      </c>
      <c r="H23" s="14">
        <f t="shared" si="2"/>
        <v>3187.9999999999977</v>
      </c>
      <c r="I23" s="144">
        <f t="shared" si="3"/>
        <v>565</v>
      </c>
      <c r="J23" s="15"/>
      <c r="K23" s="27">
        <f t="shared" si="4"/>
        <v>-202.00000000000227</v>
      </c>
      <c r="L23" s="10">
        <f t="shared" si="5"/>
        <v>0.00260879629629625</v>
      </c>
      <c r="M23" s="60">
        <f t="shared" si="15"/>
        <v>37.566666666666</v>
      </c>
      <c r="N23" s="61">
        <f t="shared" si="16"/>
        <v>6.7754077791719</v>
      </c>
      <c r="O23" s="90">
        <f t="shared" si="17"/>
        <v>3.2</v>
      </c>
      <c r="P23" s="141"/>
      <c r="Q23" s="62"/>
      <c r="R23" s="5"/>
      <c r="S23" s="118">
        <f t="shared" si="7"/>
        <v>800</v>
      </c>
      <c r="T23" s="53">
        <f t="shared" si="8"/>
        <v>565</v>
      </c>
      <c r="U23" s="119">
        <f t="shared" si="9"/>
        <v>454.1</v>
      </c>
      <c r="V23" s="5"/>
      <c r="W23" s="123">
        <f t="shared" si="11"/>
        <v>3.1578947368421053</v>
      </c>
      <c r="X23" s="89">
        <f t="shared" si="12"/>
        <v>4.7368421052631575</v>
      </c>
      <c r="Y23" s="124">
        <f t="shared" si="13"/>
        <v>13.333333333333334</v>
      </c>
    </row>
    <row r="24" spans="2:25" ht="14.25">
      <c r="B24" s="87">
        <v>18</v>
      </c>
      <c r="C24" s="14">
        <v>312</v>
      </c>
      <c r="D24" s="58" t="str">
        <f t="shared" si="0"/>
        <v>はやとり</v>
      </c>
      <c r="E24" s="15">
        <f t="shared" si="1"/>
        <v>8.359</v>
      </c>
      <c r="F24" s="59">
        <v>17</v>
      </c>
      <c r="G24" s="10">
        <v>0.4551273148148148</v>
      </c>
      <c r="H24" s="14">
        <f t="shared" si="2"/>
        <v>3322.999999999995</v>
      </c>
      <c r="I24" s="144">
        <f t="shared" si="3"/>
        <v>571</v>
      </c>
      <c r="J24" s="15"/>
      <c r="K24" s="27">
        <f t="shared" si="4"/>
        <v>-103.000000000005</v>
      </c>
      <c r="L24" s="10">
        <f t="shared" si="5"/>
        <v>0.003754629629629552</v>
      </c>
      <c r="M24" s="60">
        <f t="shared" si="15"/>
        <v>54.06666666666555</v>
      </c>
      <c r="N24" s="61">
        <f t="shared" si="16"/>
        <v>6.500150466445993</v>
      </c>
      <c r="O24" s="90">
        <f t="shared" si="17"/>
        <v>2.1</v>
      </c>
      <c r="P24" s="141"/>
      <c r="Q24" s="62"/>
      <c r="R24" s="5"/>
      <c r="S24" s="118">
        <f t="shared" si="7"/>
        <v>808.2</v>
      </c>
      <c r="T24" s="53">
        <f t="shared" si="8"/>
        <v>571</v>
      </c>
      <c r="U24" s="119">
        <f t="shared" si="9"/>
        <v>459.1</v>
      </c>
      <c r="V24" s="5"/>
      <c r="W24" s="123">
        <f t="shared" si="11"/>
        <v>2.1052631578947367</v>
      </c>
      <c r="X24" s="89">
        <f t="shared" si="12"/>
        <v>3.1578947368421053</v>
      </c>
      <c r="Y24" s="124">
        <f t="shared" si="13"/>
        <v>11.666666666666666</v>
      </c>
    </row>
    <row r="25" spans="2:25" ht="14.25">
      <c r="B25" s="87">
        <v>19</v>
      </c>
      <c r="C25" s="14">
        <v>6766</v>
      </c>
      <c r="D25" s="58" t="str">
        <f t="shared" si="0"/>
        <v>くろしお</v>
      </c>
      <c r="E25" s="15">
        <f t="shared" si="1"/>
        <v>8.443</v>
      </c>
      <c r="F25" s="59">
        <v>19</v>
      </c>
      <c r="G25" s="10">
        <v>0.4562615740740741</v>
      </c>
      <c r="H25" s="14">
        <f t="shared" si="2"/>
        <v>3420.999999999999</v>
      </c>
      <c r="I25" s="144">
        <f t="shared" si="3"/>
        <v>568.7</v>
      </c>
      <c r="J25" s="15"/>
      <c r="K25" s="27">
        <f t="shared" si="4"/>
        <v>8.799999999998818</v>
      </c>
      <c r="L25" s="10">
        <f t="shared" si="5"/>
        <v>0.0050486111111110775</v>
      </c>
      <c r="M25" s="60">
        <f t="shared" si="15"/>
        <v>72.69999999999952</v>
      </c>
      <c r="N25" s="61">
        <f t="shared" si="16"/>
        <v>6.313943291435255</v>
      </c>
      <c r="O25" s="90">
        <f t="shared" si="17"/>
        <v>1.1</v>
      </c>
      <c r="P25" s="141"/>
      <c r="Q25" s="62"/>
      <c r="R25" s="5"/>
      <c r="S25" s="118">
        <f t="shared" si="7"/>
        <v>805.1</v>
      </c>
      <c r="T25" s="53">
        <f t="shared" si="8"/>
        <v>568.7</v>
      </c>
      <c r="U25" s="119">
        <f t="shared" si="9"/>
        <v>457.2</v>
      </c>
      <c r="V25" s="5"/>
      <c r="W25" s="123">
        <f t="shared" si="11"/>
        <v>1.0526315789473684</v>
      </c>
      <c r="X25" s="89">
        <f t="shared" si="12"/>
        <v>1.5789473684210527</v>
      </c>
      <c r="Y25" s="124">
        <f t="shared" si="13"/>
        <v>10</v>
      </c>
    </row>
    <row r="26" spans="2:25" ht="14.25">
      <c r="B26" s="88"/>
      <c r="C26" s="16"/>
      <c r="D26" s="63"/>
      <c r="E26" s="17"/>
      <c r="F26" s="64"/>
      <c r="G26" s="12"/>
      <c r="H26" s="16"/>
      <c r="I26" s="96"/>
      <c r="J26" s="17"/>
      <c r="K26" s="28"/>
      <c r="L26" s="12"/>
      <c r="M26" s="65"/>
      <c r="N26" s="66"/>
      <c r="O26" s="91"/>
      <c r="P26" s="142"/>
      <c r="Q26" s="67"/>
      <c r="R26" s="5"/>
      <c r="S26" s="118">
        <f t="shared" si="7"/>
      </c>
      <c r="T26" s="53">
        <f t="shared" si="8"/>
      </c>
      <c r="U26" s="119">
        <f t="shared" si="9"/>
      </c>
      <c r="V26" s="5"/>
      <c r="W26" s="123">
        <f t="shared" si="11"/>
      </c>
      <c r="X26" s="89">
        <f t="shared" si="12"/>
      </c>
      <c r="Y26" s="124">
        <f t="shared" si="13"/>
      </c>
    </row>
    <row r="27" spans="2:25" ht="14.25">
      <c r="B27" s="98"/>
      <c r="C27" s="18">
        <v>1985</v>
      </c>
      <c r="D27" s="58" t="str">
        <f>IF(ISBLANK(C27),"",VLOOKUP(C27,各艇データ,2,FALSE))</f>
        <v>波勝</v>
      </c>
      <c r="E27" s="146"/>
      <c r="F27" s="99"/>
      <c r="G27" s="13"/>
      <c r="H27" s="18"/>
      <c r="I27" s="160"/>
      <c r="J27" s="146"/>
      <c r="K27" s="147"/>
      <c r="L27" s="13"/>
      <c r="M27" s="100"/>
      <c r="N27" s="101"/>
      <c r="O27" s="148">
        <v>1</v>
      </c>
      <c r="P27" s="143" t="s">
        <v>329</v>
      </c>
      <c r="Q27" s="102"/>
      <c r="R27" s="5"/>
      <c r="S27" s="118">
        <f t="shared" si="7"/>
        <v>863.3</v>
      </c>
      <c r="T27" s="53">
        <f t="shared" si="8"/>
        <v>610.9</v>
      </c>
      <c r="U27" s="119">
        <f t="shared" si="9"/>
        <v>492.9</v>
      </c>
      <c r="V27" s="5"/>
      <c r="W27" s="123">
        <f t="shared" si="11"/>
      </c>
      <c r="X27" s="89">
        <f t="shared" si="12"/>
      </c>
      <c r="Y27" s="124">
        <f t="shared" si="13"/>
      </c>
    </row>
    <row r="28" spans="2:25" ht="14.25">
      <c r="B28" s="87"/>
      <c r="C28" s="14"/>
      <c r="D28" s="58"/>
      <c r="E28" s="15"/>
      <c r="F28" s="59"/>
      <c r="G28" s="10"/>
      <c r="H28" s="14"/>
      <c r="I28" s="144"/>
      <c r="J28" s="15"/>
      <c r="K28" s="27"/>
      <c r="L28" s="10"/>
      <c r="M28" s="60"/>
      <c r="N28" s="61"/>
      <c r="O28" s="90"/>
      <c r="P28" s="141"/>
      <c r="Q28" s="62"/>
      <c r="R28" s="5"/>
      <c r="S28" s="118">
        <f t="shared" si="7"/>
      </c>
      <c r="T28" s="53">
        <f t="shared" si="8"/>
      </c>
      <c r="U28" s="119">
        <f t="shared" si="9"/>
      </c>
      <c r="V28" s="5"/>
      <c r="W28" s="123">
        <f t="shared" si="11"/>
      </c>
      <c r="X28" s="89">
        <f t="shared" si="12"/>
      </c>
      <c r="Y28" s="124">
        <f t="shared" si="13"/>
      </c>
    </row>
    <row r="29" spans="2:25" ht="14.25">
      <c r="B29" s="87"/>
      <c r="C29" s="14"/>
      <c r="D29" s="58"/>
      <c r="E29" s="15"/>
      <c r="F29" s="59"/>
      <c r="G29" s="10"/>
      <c r="H29" s="14"/>
      <c r="I29" s="144"/>
      <c r="J29" s="15"/>
      <c r="K29" s="27"/>
      <c r="L29" s="10"/>
      <c r="M29" s="60"/>
      <c r="N29" s="61"/>
      <c r="O29" s="90"/>
      <c r="P29" s="141"/>
      <c r="Q29" s="62"/>
      <c r="R29" s="5"/>
      <c r="S29" s="118">
        <f t="shared" si="7"/>
      </c>
      <c r="T29" s="53">
        <f>IF(ISBLANK(C29),"",VLOOKUP(C29,各艇データ,5,FALSE))</f>
      </c>
      <c r="U29" s="119">
        <f t="shared" si="9"/>
      </c>
      <c r="V29" s="5"/>
      <c r="W29" s="123">
        <f t="shared" si="11"/>
      </c>
      <c r="X29" s="89">
        <f t="shared" si="12"/>
      </c>
      <c r="Y29" s="124">
        <f t="shared" si="13"/>
      </c>
    </row>
    <row r="30" spans="2:25" ht="14.25">
      <c r="B30" s="87"/>
      <c r="C30" s="14"/>
      <c r="D30" s="58"/>
      <c r="E30" s="15"/>
      <c r="F30" s="59"/>
      <c r="G30" s="10"/>
      <c r="H30" s="14"/>
      <c r="I30" s="144"/>
      <c r="J30" s="15"/>
      <c r="K30" s="27"/>
      <c r="L30" s="10"/>
      <c r="M30" s="60"/>
      <c r="N30" s="61"/>
      <c r="O30" s="90"/>
      <c r="P30" s="141"/>
      <c r="Q30" s="62"/>
      <c r="R30" s="5"/>
      <c r="S30" s="118">
        <f t="shared" si="7"/>
      </c>
      <c r="T30" s="53">
        <f t="shared" si="8"/>
      </c>
      <c r="U30" s="119">
        <f t="shared" si="9"/>
      </c>
      <c r="V30" s="5"/>
      <c r="W30" s="123">
        <f t="shared" si="11"/>
      </c>
      <c r="X30" s="89">
        <f t="shared" si="12"/>
      </c>
      <c r="Y30" s="124">
        <f t="shared" si="13"/>
      </c>
    </row>
    <row r="31" spans="2:25" ht="15" thickBot="1">
      <c r="B31" s="87"/>
      <c r="C31" s="14"/>
      <c r="D31" s="63"/>
      <c r="E31" s="17"/>
      <c r="F31" s="59"/>
      <c r="G31" s="10"/>
      <c r="H31" s="16"/>
      <c r="I31" s="96"/>
      <c r="J31" s="17"/>
      <c r="K31" s="28"/>
      <c r="L31" s="12"/>
      <c r="M31" s="65"/>
      <c r="N31" s="66"/>
      <c r="O31" s="91"/>
      <c r="P31" s="141"/>
      <c r="Q31" s="62"/>
      <c r="R31" s="5"/>
      <c r="S31" s="120">
        <f t="shared" si="7"/>
      </c>
      <c r="T31" s="121">
        <f t="shared" si="8"/>
      </c>
      <c r="U31" s="122">
        <f t="shared" si="9"/>
      </c>
      <c r="V31" s="5"/>
      <c r="W31" s="125">
        <f t="shared" si="11"/>
      </c>
      <c r="X31" s="126">
        <f t="shared" si="12"/>
      </c>
      <c r="Y31" s="68">
        <f t="shared" si="13"/>
      </c>
    </row>
    <row r="32" spans="2:22" ht="15" customHeight="1">
      <c r="B32" s="401" t="s">
        <v>78</v>
      </c>
      <c r="C32" s="402"/>
      <c r="D32" s="403"/>
      <c r="E32" s="367" t="s">
        <v>306</v>
      </c>
      <c r="F32" s="428" t="s">
        <v>330</v>
      </c>
      <c r="G32" s="398"/>
      <c r="H32" s="410" t="s">
        <v>334</v>
      </c>
      <c r="I32" s="411"/>
      <c r="J32" s="411"/>
      <c r="K32" s="411"/>
      <c r="L32" s="411"/>
      <c r="M32" s="411"/>
      <c r="N32" s="411"/>
      <c r="O32" s="411"/>
      <c r="P32" s="411"/>
      <c r="Q32" s="412"/>
      <c r="R32" s="1"/>
      <c r="T32" s="29"/>
      <c r="U32" s="1"/>
      <c r="V32" s="1"/>
    </row>
    <row r="33" spans="2:22" ht="15">
      <c r="B33" s="404"/>
      <c r="C33" s="405"/>
      <c r="D33" s="406"/>
      <c r="E33" s="368" t="s">
        <v>307</v>
      </c>
      <c r="F33" s="395" t="s">
        <v>331</v>
      </c>
      <c r="G33" s="396"/>
      <c r="H33" s="413"/>
      <c r="I33" s="414"/>
      <c r="J33" s="414"/>
      <c r="K33" s="414"/>
      <c r="L33" s="414"/>
      <c r="M33" s="414"/>
      <c r="N33" s="414"/>
      <c r="O33" s="414"/>
      <c r="P33" s="414"/>
      <c r="Q33" s="415"/>
      <c r="R33" s="1"/>
      <c r="U33" s="1"/>
      <c r="V33" s="1"/>
    </row>
    <row r="34" spans="2:22" ht="23.25" customHeight="1">
      <c r="B34" s="407"/>
      <c r="C34" s="408"/>
      <c r="D34" s="409"/>
      <c r="E34" s="368" t="s">
        <v>308</v>
      </c>
      <c r="F34" s="395" t="s">
        <v>332</v>
      </c>
      <c r="G34" s="396"/>
      <c r="H34" s="413"/>
      <c r="I34" s="414"/>
      <c r="J34" s="414"/>
      <c r="K34" s="414"/>
      <c r="L34" s="414"/>
      <c r="M34" s="414"/>
      <c r="N34" s="414"/>
      <c r="O34" s="414"/>
      <c r="P34" s="414"/>
      <c r="Q34" s="415"/>
      <c r="R34" s="1"/>
      <c r="U34" s="1"/>
      <c r="V34" s="1"/>
    </row>
    <row r="35" spans="2:22" ht="22.5" customHeight="1">
      <c r="B35" s="419" t="s">
        <v>79</v>
      </c>
      <c r="C35" s="420"/>
      <c r="D35" s="421"/>
      <c r="E35" s="429" t="s">
        <v>311</v>
      </c>
      <c r="F35" s="395" t="str">
        <f>'参照ﾃﾞｰﾀ'!AI4</f>
        <v>波勝</v>
      </c>
      <c r="G35" s="396"/>
      <c r="H35" s="413"/>
      <c r="I35" s="414"/>
      <c r="J35" s="414"/>
      <c r="K35" s="414"/>
      <c r="L35" s="414"/>
      <c r="M35" s="414"/>
      <c r="N35" s="414"/>
      <c r="O35" s="414"/>
      <c r="P35" s="414"/>
      <c r="Q35" s="415"/>
      <c r="R35" s="1"/>
      <c r="U35" s="1"/>
      <c r="V35" s="1"/>
    </row>
    <row r="36" spans="2:22" ht="15" customHeight="1">
      <c r="B36" s="422"/>
      <c r="C36" s="423"/>
      <c r="D36" s="424"/>
      <c r="E36" s="430"/>
      <c r="F36" s="431" t="str">
        <f>'参照ﾃﾞｰﾀ'!AJ4</f>
        <v>かまくら</v>
      </c>
      <c r="G36" s="432"/>
      <c r="H36" s="413"/>
      <c r="I36" s="414"/>
      <c r="J36" s="414"/>
      <c r="K36" s="414"/>
      <c r="L36" s="414"/>
      <c r="M36" s="414"/>
      <c r="N36" s="414"/>
      <c r="O36" s="414"/>
      <c r="P36" s="414"/>
      <c r="Q36" s="415"/>
      <c r="R36" s="1"/>
      <c r="U36" s="1"/>
      <c r="V36" s="1"/>
    </row>
    <row r="37" spans="2:22" ht="15" customHeight="1">
      <c r="B37" s="422"/>
      <c r="C37" s="423"/>
      <c r="D37" s="424"/>
      <c r="E37" s="367" t="s">
        <v>309</v>
      </c>
      <c r="F37" s="397">
        <f>'参照ﾃﾞｰﾀ'!R5</f>
        <v>42421</v>
      </c>
      <c r="G37" s="398"/>
      <c r="H37" s="413"/>
      <c r="I37" s="414"/>
      <c r="J37" s="414"/>
      <c r="K37" s="414"/>
      <c r="L37" s="414"/>
      <c r="M37" s="414"/>
      <c r="N37" s="414"/>
      <c r="O37" s="414"/>
      <c r="P37" s="414"/>
      <c r="Q37" s="415"/>
      <c r="R37" s="1"/>
      <c r="U37" s="1"/>
      <c r="V37" s="1"/>
    </row>
    <row r="38" spans="2:22" ht="15">
      <c r="B38" s="422"/>
      <c r="C38" s="423"/>
      <c r="D38" s="424"/>
      <c r="E38" s="368" t="s">
        <v>325</v>
      </c>
      <c r="F38" s="395" t="str">
        <f>'参照ﾃﾞｰﾀ'!AH5</f>
        <v>B</v>
      </c>
      <c r="G38" s="396"/>
      <c r="H38" s="413"/>
      <c r="I38" s="414"/>
      <c r="J38" s="414"/>
      <c r="K38" s="414"/>
      <c r="L38" s="414"/>
      <c r="M38" s="414"/>
      <c r="N38" s="414"/>
      <c r="O38" s="414"/>
      <c r="P38" s="414"/>
      <c r="Q38" s="415"/>
      <c r="R38" s="1"/>
      <c r="U38" s="1"/>
      <c r="V38" s="1"/>
    </row>
    <row r="39" spans="2:22" ht="15">
      <c r="B39" s="422"/>
      <c r="C39" s="423"/>
      <c r="D39" s="424"/>
      <c r="E39" s="368" t="s">
        <v>310</v>
      </c>
      <c r="F39" s="395" t="str">
        <f>'参照ﾃﾞｰﾀ'!AI5</f>
        <v>はやとり</v>
      </c>
      <c r="G39" s="396"/>
      <c r="H39" s="413"/>
      <c r="I39" s="414"/>
      <c r="J39" s="414"/>
      <c r="K39" s="414"/>
      <c r="L39" s="414"/>
      <c r="M39" s="414"/>
      <c r="N39" s="414"/>
      <c r="O39" s="414"/>
      <c r="P39" s="414"/>
      <c r="Q39" s="415"/>
      <c r="R39" s="1"/>
      <c r="U39" s="1"/>
      <c r="V39" s="1"/>
    </row>
    <row r="40" spans="2:22" ht="15">
      <c r="B40" s="422"/>
      <c r="C40" s="423"/>
      <c r="D40" s="424"/>
      <c r="E40" s="368"/>
      <c r="F40" s="395" t="str">
        <f>'参照ﾃﾞｰﾀ'!AJ5</f>
        <v>アルファ</v>
      </c>
      <c r="G40" s="396"/>
      <c r="H40" s="413"/>
      <c r="I40" s="414"/>
      <c r="J40" s="414"/>
      <c r="K40" s="414"/>
      <c r="L40" s="414"/>
      <c r="M40" s="414"/>
      <c r="N40" s="414"/>
      <c r="O40" s="414"/>
      <c r="P40" s="414"/>
      <c r="Q40" s="415"/>
      <c r="R40" s="1"/>
      <c r="U40" s="1"/>
      <c r="V40" s="1"/>
    </row>
    <row r="41" spans="2:22" ht="11.25" customHeight="1" thickBot="1">
      <c r="B41" s="425"/>
      <c r="C41" s="426"/>
      <c r="D41" s="427"/>
      <c r="E41" s="369"/>
      <c r="F41" s="433"/>
      <c r="G41" s="434"/>
      <c r="H41" s="416"/>
      <c r="I41" s="417"/>
      <c r="J41" s="417"/>
      <c r="K41" s="417"/>
      <c r="L41" s="417"/>
      <c r="M41" s="417"/>
      <c r="N41" s="417"/>
      <c r="O41" s="417"/>
      <c r="P41" s="417"/>
      <c r="Q41" s="418"/>
      <c r="R41" s="1"/>
      <c r="S41" s="1"/>
      <c r="T41" s="1"/>
      <c r="U41" s="1"/>
      <c r="V41" s="1"/>
    </row>
  </sheetData>
  <sheetProtection password="EDAE" sheet="1"/>
  <mergeCells count="18">
    <mergeCell ref="P5:Q5"/>
    <mergeCell ref="B32:D34"/>
    <mergeCell ref="H32:Q41"/>
    <mergeCell ref="B35:D41"/>
    <mergeCell ref="F32:G32"/>
    <mergeCell ref="E35:E36"/>
    <mergeCell ref="F35:G35"/>
    <mergeCell ref="F36:G36"/>
    <mergeCell ref="F41:G41"/>
    <mergeCell ref="D2:F2"/>
    <mergeCell ref="E3:I3"/>
    <mergeCell ref="J3:K3"/>
    <mergeCell ref="F38:G38"/>
    <mergeCell ref="F40:G40"/>
    <mergeCell ref="F39:G39"/>
    <mergeCell ref="F37:G37"/>
    <mergeCell ref="F33:G33"/>
    <mergeCell ref="F34:G34"/>
  </mergeCells>
  <dataValidations count="8">
    <dataValidation type="list" allowBlank="1" showInputMessage="1" showErrorMessage="1" sqref="P2">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rintOptions/>
  <pageMargins left="0.31496062992125984" right="0" top="0.35433070866141736" bottom="0.1968503937007874" header="0" footer="0"/>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Y41"/>
  <sheetViews>
    <sheetView zoomScale="96" zoomScaleNormal="96" zoomScalePageLayoutView="0" workbookViewId="0" topLeftCell="A1">
      <selection activeCell="H32" sqref="H32:Q41"/>
    </sheetView>
  </sheetViews>
  <sheetFormatPr defaultColWidth="9.140625" defaultRowHeight="15"/>
  <cols>
    <col min="1" max="1" width="1.7109375" style="0" customWidth="1"/>
    <col min="2" max="2" width="5.00390625" style="0" customWidth="1"/>
    <col min="3" max="3" width="7.00390625" style="0" customWidth="1"/>
    <col min="4" max="4" width="18.00390625" style="0" customWidth="1"/>
    <col min="5" max="5" width="9.140625" style="0" customWidth="1"/>
    <col min="6" max="6" width="5.00390625" style="0" customWidth="1"/>
    <col min="7" max="7" width="10.8515625" style="0" customWidth="1"/>
    <col min="8" max="8" width="8.421875" style="0" customWidth="1"/>
    <col min="9" max="9" width="7.57421875" style="0" customWidth="1"/>
    <col min="10" max="10" width="5.00390625" style="0" customWidth="1"/>
    <col min="11" max="11" width="8.421875" style="0" customWidth="1"/>
    <col min="12" max="12" width="10.8515625" style="0" customWidth="1"/>
    <col min="13" max="13" width="9.421875" style="0" customWidth="1"/>
    <col min="14" max="14" width="7.8515625" style="0" customWidth="1"/>
    <col min="15" max="15" width="8.00390625" style="0" customWidth="1"/>
    <col min="16" max="16" width="11.28125" style="0" customWidth="1"/>
    <col min="17" max="17" width="12.28125" style="0" customWidth="1"/>
    <col min="18" max="18" width="4.8515625" style="0" customWidth="1"/>
    <col min="19" max="19" width="7.7109375" style="0" customWidth="1"/>
    <col min="20" max="21" width="7.57421875" style="0" customWidth="1"/>
    <col min="22" max="22" width="4.421875" style="0" customWidth="1"/>
    <col min="23" max="25" width="8.00390625" style="0" customWidth="1"/>
  </cols>
  <sheetData>
    <row r="1" ht="9.75" customHeight="1" thickBot="1"/>
    <row r="2" spans="2:22" ht="21">
      <c r="B2" s="1"/>
      <c r="C2" s="2"/>
      <c r="D2" s="392" t="str">
        <f>'参照ﾃﾞｰﾀ'!N4</f>
        <v>2016年</v>
      </c>
      <c r="E2" s="392"/>
      <c r="F2" s="392"/>
      <c r="G2" s="95" t="s">
        <v>312</v>
      </c>
      <c r="H2" s="38"/>
      <c r="I2" s="3"/>
      <c r="J2" s="1"/>
      <c r="K2" s="26"/>
      <c r="L2" s="1"/>
      <c r="M2" s="78" t="s">
        <v>65</v>
      </c>
      <c r="N2" s="79" t="s">
        <v>173</v>
      </c>
      <c r="O2" s="80" t="s">
        <v>68</v>
      </c>
      <c r="P2" s="132">
        <v>42421</v>
      </c>
      <c r="Q2" s="114">
        <v>0.4375</v>
      </c>
      <c r="R2" s="1"/>
      <c r="S2" s="1"/>
      <c r="T2" s="1"/>
      <c r="U2" s="1"/>
      <c r="V2" s="1"/>
    </row>
    <row r="3" spans="2:23" ht="21.75" customHeight="1" thickBot="1">
      <c r="B3" s="1"/>
      <c r="D3" s="162" t="s">
        <v>213</v>
      </c>
      <c r="E3" s="393" t="s">
        <v>82</v>
      </c>
      <c r="F3" s="393"/>
      <c r="G3" s="393"/>
      <c r="H3" s="393"/>
      <c r="I3" s="393"/>
      <c r="J3" s="394" t="s">
        <v>105</v>
      </c>
      <c r="K3" s="394"/>
      <c r="L3" s="4"/>
      <c r="M3" s="137" t="s">
        <v>94</v>
      </c>
      <c r="N3" s="347">
        <v>6</v>
      </c>
      <c r="O3" s="81" t="s">
        <v>0</v>
      </c>
      <c r="P3" s="82">
        <v>16</v>
      </c>
      <c r="Q3" s="83" t="s">
        <v>1</v>
      </c>
      <c r="R3" s="1"/>
      <c r="S3" s="112" t="s">
        <v>2</v>
      </c>
      <c r="T3" s="69"/>
      <c r="U3" s="69"/>
      <c r="V3" s="1"/>
      <c r="W3" s="127" t="s">
        <v>95</v>
      </c>
    </row>
    <row r="4" spans="2:22" ht="7.5" customHeight="1" thickBot="1">
      <c r="B4" s="1"/>
      <c r="C4" s="1"/>
      <c r="D4" s="1"/>
      <c r="E4" s="1"/>
      <c r="F4" s="1"/>
      <c r="G4" s="1"/>
      <c r="H4" s="1"/>
      <c r="I4" s="1"/>
      <c r="J4" s="1"/>
      <c r="K4" s="1"/>
      <c r="L4" s="1"/>
      <c r="M4" s="1"/>
      <c r="N4" s="1"/>
      <c r="O4" s="1"/>
      <c r="P4" s="1"/>
      <c r="Q4" s="1"/>
      <c r="R4" s="1"/>
      <c r="S4" s="70"/>
      <c r="T4" s="69"/>
      <c r="U4" s="69"/>
      <c r="V4" s="1"/>
    </row>
    <row r="5" spans="2:25" ht="14.25">
      <c r="B5" s="97" t="s">
        <v>3</v>
      </c>
      <c r="C5" s="76" t="s">
        <v>4</v>
      </c>
      <c r="D5" s="76" t="s">
        <v>5</v>
      </c>
      <c r="E5" s="76" t="s">
        <v>6</v>
      </c>
      <c r="F5" s="76" t="s">
        <v>7</v>
      </c>
      <c r="G5" s="76" t="s">
        <v>8</v>
      </c>
      <c r="H5" s="76" t="s">
        <v>9</v>
      </c>
      <c r="I5" s="76" t="s">
        <v>10</v>
      </c>
      <c r="J5" s="76" t="s">
        <v>11</v>
      </c>
      <c r="K5" s="76" t="s">
        <v>12</v>
      </c>
      <c r="L5" s="77" t="s">
        <v>72</v>
      </c>
      <c r="M5" s="77" t="s">
        <v>73</v>
      </c>
      <c r="N5" s="76" t="s">
        <v>90</v>
      </c>
      <c r="O5" s="76" t="s">
        <v>13</v>
      </c>
      <c r="P5" s="399" t="s">
        <v>89</v>
      </c>
      <c r="Q5" s="400"/>
      <c r="R5" s="5"/>
      <c r="S5" s="75" t="s">
        <v>10</v>
      </c>
      <c r="T5" s="76" t="s">
        <v>10</v>
      </c>
      <c r="U5" s="115" t="s">
        <v>10</v>
      </c>
      <c r="V5" s="5"/>
      <c r="W5" s="75" t="s">
        <v>13</v>
      </c>
      <c r="X5" s="76" t="s">
        <v>13</v>
      </c>
      <c r="Y5" s="115" t="s">
        <v>13</v>
      </c>
    </row>
    <row r="6" spans="2:25" ht="14.25">
      <c r="B6" s="43"/>
      <c r="C6" s="44" t="s">
        <v>14</v>
      </c>
      <c r="D6" s="45"/>
      <c r="E6" s="46" t="s">
        <v>15</v>
      </c>
      <c r="F6" s="46"/>
      <c r="G6" s="44" t="s">
        <v>16</v>
      </c>
      <c r="H6" s="46" t="s">
        <v>17</v>
      </c>
      <c r="I6" s="44" t="s">
        <v>203</v>
      </c>
      <c r="J6" s="46" t="s">
        <v>18</v>
      </c>
      <c r="K6" s="46" t="s">
        <v>17</v>
      </c>
      <c r="L6" s="44" t="s">
        <v>16</v>
      </c>
      <c r="M6" s="46" t="s">
        <v>58</v>
      </c>
      <c r="N6" s="46" t="s">
        <v>19</v>
      </c>
      <c r="O6" s="71" t="str">
        <f>IF(ISBLANK($N$2),"",VLOOKUP($N$2,コース・距離,3,FALSE))</f>
        <v>MAX=20</v>
      </c>
      <c r="P6" s="295" t="s">
        <v>200</v>
      </c>
      <c r="Q6" s="48"/>
      <c r="R6" s="6"/>
      <c r="S6" s="116" t="s">
        <v>20</v>
      </c>
      <c r="T6" s="71" t="s">
        <v>22</v>
      </c>
      <c r="U6" s="117" t="s">
        <v>21</v>
      </c>
      <c r="V6" s="6"/>
      <c r="W6" s="116" t="s">
        <v>97</v>
      </c>
      <c r="X6" s="71" t="s">
        <v>98</v>
      </c>
      <c r="Y6" s="117" t="s">
        <v>99</v>
      </c>
    </row>
    <row r="7" spans="2:25" ht="14.25">
      <c r="B7" s="86">
        <v>1</v>
      </c>
      <c r="C7" s="49">
        <v>5755</v>
      </c>
      <c r="D7" s="50" t="str">
        <f aca="true" t="shared" si="0" ref="D7:D19">IF(ISBLANK(C7),"",VLOOKUP(C7,各艇データ,2,FALSE))</f>
        <v>ランカ</v>
      </c>
      <c r="E7" s="51">
        <f aca="true" t="shared" si="1" ref="E7:E19">IF(ISBLANK(C7),"",VLOOKUP(C7,各艇データ,3,FALSE))</f>
        <v>7.789</v>
      </c>
      <c r="F7" s="52">
        <v>2</v>
      </c>
      <c r="G7" s="8">
        <v>0.5072453703703704</v>
      </c>
      <c r="H7" s="49">
        <f aca="true" t="shared" si="2" ref="H7:H19">_xlfn.IFERROR(IF(G7-$Q$2&lt;=0,"",(G7-$Q$2)*86400),"")</f>
        <v>6026.0000000000055</v>
      </c>
      <c r="I7" s="93">
        <f aca="true" t="shared" si="3" ref="I7:I19">IF($I$6="Ⅰ",S7,IF($I$6="Ⅱ",T7,IF($I$6="Ⅲ",U7,"")))</f>
        <v>830.8</v>
      </c>
      <c r="J7" s="51"/>
      <c r="K7" s="54">
        <f aca="true" t="shared" si="4" ref="K7:K19">_xlfn.IFERROR(H7*(1+0.01*J7)-I7*$N$3,"")</f>
        <v>1041.2000000000062</v>
      </c>
      <c r="L7" s="8">
        <f aca="true" t="shared" si="5" ref="L7:L19">_xlfn.IFERROR((K7-$K$7)/86400,"")</f>
        <v>0</v>
      </c>
      <c r="M7" s="55">
        <f aca="true" t="shared" si="6" ref="M7:M19">_xlfn.IFERROR((K7-$K$7)/$N$3,"")</f>
        <v>0</v>
      </c>
      <c r="N7" s="56">
        <f aca="true" t="shared" si="7" ref="N7:N19">_xlfn.IFERROR($N$3/(H7/3600),"")</f>
        <v>3.5844673083305647</v>
      </c>
      <c r="O7" s="89">
        <f>ROUND(IF($O$6="MAX=20",W7,IF($O$6="MAX=30",X7,IF($O$6="MAX=40",Y7,""))),1)</f>
        <v>20</v>
      </c>
      <c r="P7" s="291"/>
      <c r="Q7" s="57"/>
      <c r="R7" s="5"/>
      <c r="S7" s="118">
        <f aca="true" t="shared" si="8" ref="S7:S31">IF(ISBLANK(C7),"",VLOOKUP(C7,各艇データ,4,FALSE))</f>
        <v>830.8</v>
      </c>
      <c r="T7" s="53">
        <f aca="true" t="shared" si="9" ref="T7:T31">IF(ISBLANK(C7),"",VLOOKUP(C7,各艇データ,5,FALSE))</f>
        <v>587.4</v>
      </c>
      <c r="U7" s="119">
        <f aca="true" t="shared" si="10" ref="U7:U31">IF(ISBLANK(C7),"",VLOOKUP(C7,各艇データ,6,FALSE))</f>
        <v>472.9</v>
      </c>
      <c r="V7" s="5"/>
      <c r="W7" s="123">
        <f>IF(ISBLANK(B7),"",_xlfn.IFERROR(20*($P$3+1-$B7)/$P$3,"20.0"))</f>
        <v>20</v>
      </c>
      <c r="X7" s="89">
        <f>IF(ISBLANK(B7),"",_xlfn.IFERROR(30*($P$3+1-$B7)/$P$3,"30.0"))</f>
        <v>30</v>
      </c>
      <c r="Y7" s="124">
        <f>IF(ISBLANK(B7),"",_xlfn.IFERROR(30*($P$3-$B7)/($P$3-1)+10,"20.0"))</f>
        <v>40</v>
      </c>
    </row>
    <row r="8" spans="2:25" ht="14.25">
      <c r="B8" s="87">
        <v>2</v>
      </c>
      <c r="C8" s="14">
        <v>1733</v>
      </c>
      <c r="D8" s="58" t="str">
        <f t="shared" si="0"/>
        <v>ケロニア</v>
      </c>
      <c r="E8" s="15">
        <f t="shared" si="1"/>
        <v>9.515</v>
      </c>
      <c r="F8" s="59">
        <v>1</v>
      </c>
      <c r="G8" s="10">
        <v>0.5034953703703704</v>
      </c>
      <c r="H8" s="14">
        <f t="shared" si="2"/>
        <v>5702.000000000003</v>
      </c>
      <c r="I8" s="144">
        <f t="shared" si="3"/>
        <v>768.4</v>
      </c>
      <c r="J8" s="313"/>
      <c r="K8" s="27">
        <f t="shared" si="4"/>
        <v>1091.600000000003</v>
      </c>
      <c r="L8" s="10">
        <f t="shared" si="5"/>
        <v>0.0005833333333332975</v>
      </c>
      <c r="M8" s="60">
        <f t="shared" si="6"/>
        <v>8.399999999999485</v>
      </c>
      <c r="N8" s="61">
        <f t="shared" si="7"/>
        <v>3.788144510697999</v>
      </c>
      <c r="O8" s="90">
        <f aca="true" t="shared" si="11" ref="O8:O19">ROUND(IF($O$6="MAX=20",W8,IF($O$6="MAX=30",X8,IF($O$6="MAX=40",Y8,""))),1)</f>
        <v>18.8</v>
      </c>
      <c r="P8" s="292"/>
      <c r="Q8" s="62"/>
      <c r="R8" s="5"/>
      <c r="S8" s="118">
        <f t="shared" si="8"/>
        <v>768.4</v>
      </c>
      <c r="T8" s="53">
        <f t="shared" si="9"/>
        <v>542.1</v>
      </c>
      <c r="U8" s="119">
        <f t="shared" si="10"/>
        <v>434.8</v>
      </c>
      <c r="V8" s="5"/>
      <c r="W8" s="123">
        <f aca="true" t="shared" si="12" ref="W8:W31">IF(ISBLANK(B8),"",_xlfn.IFERROR(20*($P$3+1-$B8)/$P$3,"20.0"))</f>
        <v>18.75</v>
      </c>
      <c r="X8" s="89">
        <f aca="true" t="shared" si="13" ref="X8:X31">IF(ISBLANK(B8),"",_xlfn.IFERROR(30*($P$3+1-$B8)/$P$3,"30.0"))</f>
        <v>28.125</v>
      </c>
      <c r="Y8" s="124">
        <f aca="true" t="shared" si="14" ref="Y8:Y31">IF(ISBLANK(B8),"",_xlfn.IFERROR(30*($P$3-$B8)/($P$3-1)+10,"20.0"))</f>
        <v>38</v>
      </c>
    </row>
    <row r="9" spans="2:25" ht="14.25">
      <c r="B9" s="87">
        <v>3</v>
      </c>
      <c r="C9" s="14">
        <v>6714</v>
      </c>
      <c r="D9" s="58" t="str">
        <f t="shared" si="0"/>
        <v>HAURAKI</v>
      </c>
      <c r="E9" s="15">
        <f t="shared" si="1"/>
        <v>9.218</v>
      </c>
      <c r="F9" s="59">
        <v>3</v>
      </c>
      <c r="G9" s="10">
        <v>0.5075925925925926</v>
      </c>
      <c r="H9" s="14">
        <f t="shared" si="2"/>
        <v>6056</v>
      </c>
      <c r="I9" s="144">
        <f t="shared" si="3"/>
        <v>778</v>
      </c>
      <c r="J9" s="15"/>
      <c r="K9" s="27">
        <f t="shared" si="4"/>
        <v>1388</v>
      </c>
      <c r="L9" s="10">
        <f t="shared" si="5"/>
        <v>0.004013888888888817</v>
      </c>
      <c r="M9" s="60">
        <f t="shared" si="6"/>
        <v>57.79999999999897</v>
      </c>
      <c r="N9" s="61">
        <f t="shared" si="7"/>
        <v>3.5667107001321003</v>
      </c>
      <c r="O9" s="90">
        <f t="shared" si="11"/>
        <v>17.5</v>
      </c>
      <c r="P9" s="292"/>
      <c r="Q9" s="62"/>
      <c r="R9" s="5"/>
      <c r="S9" s="118">
        <f t="shared" si="8"/>
        <v>778</v>
      </c>
      <c r="T9" s="53">
        <f t="shared" si="9"/>
        <v>549.1</v>
      </c>
      <c r="U9" s="119">
        <f t="shared" si="10"/>
        <v>440.6</v>
      </c>
      <c r="V9" s="5"/>
      <c r="W9" s="123">
        <f t="shared" si="12"/>
        <v>17.5</v>
      </c>
      <c r="X9" s="89">
        <f t="shared" si="13"/>
        <v>26.25</v>
      </c>
      <c r="Y9" s="124">
        <f t="shared" si="14"/>
        <v>36</v>
      </c>
    </row>
    <row r="10" spans="2:25" ht="14.25">
      <c r="B10" s="87">
        <v>4</v>
      </c>
      <c r="C10" s="14">
        <v>1611</v>
      </c>
      <c r="D10" s="58" t="str">
        <f t="shared" si="0"/>
        <v>ﾈﾌﾟﾁｭｰﾝXⅡ</v>
      </c>
      <c r="E10" s="15">
        <f t="shared" si="1"/>
        <v>8.438</v>
      </c>
      <c r="F10" s="59">
        <v>5</v>
      </c>
      <c r="G10" s="10">
        <v>0.5097106481481481</v>
      </c>
      <c r="H10" s="14">
        <f t="shared" si="2"/>
        <v>6239</v>
      </c>
      <c r="I10" s="144">
        <f t="shared" si="3"/>
        <v>805.3</v>
      </c>
      <c r="J10" s="15"/>
      <c r="K10" s="27">
        <f t="shared" si="4"/>
        <v>1407.2000000000007</v>
      </c>
      <c r="L10" s="10">
        <f t="shared" si="5"/>
        <v>0.004236111111111048</v>
      </c>
      <c r="M10" s="60">
        <f t="shared" si="6"/>
        <v>60.99999999999909</v>
      </c>
      <c r="N10" s="61">
        <f t="shared" si="7"/>
        <v>3.462093284180157</v>
      </c>
      <c r="O10" s="90">
        <f t="shared" si="11"/>
        <v>16.3</v>
      </c>
      <c r="P10" s="374" t="s">
        <v>341</v>
      </c>
      <c r="Q10" s="62"/>
      <c r="R10" s="5"/>
      <c r="S10" s="118">
        <f t="shared" si="8"/>
        <v>805.3</v>
      </c>
      <c r="T10" s="53">
        <f t="shared" si="9"/>
        <v>568.8</v>
      </c>
      <c r="U10" s="119">
        <f t="shared" si="10"/>
        <v>457.3</v>
      </c>
      <c r="V10" s="5"/>
      <c r="W10" s="123">
        <f t="shared" si="12"/>
        <v>16.25</v>
      </c>
      <c r="X10" s="89">
        <f t="shared" si="13"/>
        <v>24.375</v>
      </c>
      <c r="Y10" s="124">
        <f t="shared" si="14"/>
        <v>34</v>
      </c>
    </row>
    <row r="11" spans="2:25" ht="14.25">
      <c r="B11" s="88">
        <v>5</v>
      </c>
      <c r="C11" s="16">
        <v>6766</v>
      </c>
      <c r="D11" s="63" t="str">
        <f t="shared" si="0"/>
        <v>くろしお</v>
      </c>
      <c r="E11" s="17">
        <f t="shared" si="1"/>
        <v>8.443</v>
      </c>
      <c r="F11" s="64">
        <v>7</v>
      </c>
      <c r="G11" s="12">
        <v>0.5114351851851852</v>
      </c>
      <c r="H11" s="152">
        <f t="shared" si="2"/>
        <v>6387.999999999998</v>
      </c>
      <c r="I11" s="159">
        <f t="shared" si="3"/>
        <v>805.1</v>
      </c>
      <c r="J11" s="153"/>
      <c r="K11" s="154">
        <f t="shared" si="4"/>
        <v>1557.3999999999978</v>
      </c>
      <c r="L11" s="155">
        <f t="shared" si="5"/>
        <v>0.005974537037036941</v>
      </c>
      <c r="M11" s="156">
        <f t="shared" si="6"/>
        <v>86.03333333333194</v>
      </c>
      <c r="N11" s="157">
        <f t="shared" si="7"/>
        <v>3.3813400125234825</v>
      </c>
      <c r="O11" s="158">
        <f t="shared" si="11"/>
        <v>15</v>
      </c>
      <c r="P11" s="294"/>
      <c r="Q11" s="67"/>
      <c r="R11" s="5"/>
      <c r="S11" s="118">
        <f t="shared" si="8"/>
        <v>805.1</v>
      </c>
      <c r="T11" s="53">
        <f t="shared" si="9"/>
        <v>568.7</v>
      </c>
      <c r="U11" s="119">
        <f t="shared" si="10"/>
        <v>457.2</v>
      </c>
      <c r="V11" s="5"/>
      <c r="W11" s="123">
        <f t="shared" si="12"/>
        <v>15</v>
      </c>
      <c r="X11" s="89">
        <f t="shared" si="13"/>
        <v>22.5</v>
      </c>
      <c r="Y11" s="124">
        <f t="shared" si="14"/>
        <v>32</v>
      </c>
    </row>
    <row r="12" spans="2:25" ht="14.25">
      <c r="B12" s="86">
        <v>6</v>
      </c>
      <c r="C12" s="49">
        <v>312</v>
      </c>
      <c r="D12" s="50" t="str">
        <f t="shared" si="0"/>
        <v>はやとり</v>
      </c>
      <c r="E12" s="51">
        <f t="shared" si="1"/>
        <v>8.359</v>
      </c>
      <c r="F12" s="52">
        <v>9</v>
      </c>
      <c r="G12" s="8">
        <v>0.5120254629629629</v>
      </c>
      <c r="H12" s="49">
        <f t="shared" si="2"/>
        <v>6438.999999999996</v>
      </c>
      <c r="I12" s="93">
        <f t="shared" si="3"/>
        <v>808.2</v>
      </c>
      <c r="J12" s="51"/>
      <c r="K12" s="54">
        <f t="shared" si="4"/>
        <v>1589.7999999999956</v>
      </c>
      <c r="L12" s="8">
        <f t="shared" si="5"/>
        <v>0.006349537037036915</v>
      </c>
      <c r="M12" s="55">
        <f t="shared" si="6"/>
        <v>91.43333333333157</v>
      </c>
      <c r="N12" s="56">
        <f t="shared" si="7"/>
        <v>3.354558161205158</v>
      </c>
      <c r="O12" s="89">
        <f t="shared" si="11"/>
        <v>13.8</v>
      </c>
      <c r="P12" s="293"/>
      <c r="Q12" s="57"/>
      <c r="R12" s="5"/>
      <c r="S12" s="118">
        <f t="shared" si="8"/>
        <v>808.2</v>
      </c>
      <c r="T12" s="53">
        <f t="shared" si="9"/>
        <v>571</v>
      </c>
      <c r="U12" s="119">
        <f t="shared" si="10"/>
        <v>459.1</v>
      </c>
      <c r="V12" s="5"/>
      <c r="W12" s="123">
        <f t="shared" si="12"/>
        <v>13.75</v>
      </c>
      <c r="X12" s="89">
        <f t="shared" si="13"/>
        <v>20.625</v>
      </c>
      <c r="Y12" s="124">
        <f t="shared" si="14"/>
        <v>30</v>
      </c>
    </row>
    <row r="13" spans="2:25" ht="14.25">
      <c r="B13" s="87">
        <v>7</v>
      </c>
      <c r="C13" s="14">
        <v>321</v>
      </c>
      <c r="D13" s="58" t="str">
        <f t="shared" si="0"/>
        <v>かまくら</v>
      </c>
      <c r="E13" s="15">
        <f t="shared" si="1"/>
        <v>9.242</v>
      </c>
      <c r="F13" s="59">
        <v>6</v>
      </c>
      <c r="G13" s="10">
        <v>0.5104050925925926</v>
      </c>
      <c r="H13" s="14">
        <f t="shared" si="2"/>
        <v>6299</v>
      </c>
      <c r="I13" s="144">
        <f t="shared" si="3"/>
        <v>777.2</v>
      </c>
      <c r="J13" s="15"/>
      <c r="K13" s="27">
        <f t="shared" si="4"/>
        <v>1635.7999999999993</v>
      </c>
      <c r="L13" s="10">
        <f t="shared" si="5"/>
        <v>0.006881944444444364</v>
      </c>
      <c r="M13" s="60">
        <f t="shared" si="6"/>
        <v>99.09999999999884</v>
      </c>
      <c r="N13" s="61">
        <f t="shared" si="7"/>
        <v>3.429115732655977</v>
      </c>
      <c r="O13" s="90">
        <f t="shared" si="11"/>
        <v>12.5</v>
      </c>
      <c r="P13" s="292"/>
      <c r="Q13" s="62"/>
      <c r="R13" s="5"/>
      <c r="S13" s="118">
        <f t="shared" si="8"/>
        <v>777.2</v>
      </c>
      <c r="T13" s="53">
        <f t="shared" si="9"/>
        <v>548.5</v>
      </c>
      <c r="U13" s="119">
        <f t="shared" si="10"/>
        <v>440.1</v>
      </c>
      <c r="V13" s="5"/>
      <c r="W13" s="123">
        <f t="shared" si="12"/>
        <v>12.5</v>
      </c>
      <c r="X13" s="89">
        <f t="shared" si="13"/>
        <v>18.75</v>
      </c>
      <c r="Y13" s="124">
        <f t="shared" si="14"/>
        <v>28</v>
      </c>
    </row>
    <row r="14" spans="2:25" ht="14.25">
      <c r="B14" s="87">
        <v>8</v>
      </c>
      <c r="C14" s="85">
        <v>5752</v>
      </c>
      <c r="D14" s="58" t="str">
        <f t="shared" si="0"/>
        <v>アルファ</v>
      </c>
      <c r="E14" s="15">
        <f t="shared" si="1"/>
        <v>10.394</v>
      </c>
      <c r="F14" s="59">
        <v>4</v>
      </c>
      <c r="G14" s="10">
        <v>0.5084722222222222</v>
      </c>
      <c r="H14" s="14">
        <f t="shared" si="2"/>
        <v>6131.999999999999</v>
      </c>
      <c r="I14" s="144">
        <f t="shared" si="3"/>
        <v>742.4</v>
      </c>
      <c r="J14" s="15"/>
      <c r="K14" s="27">
        <f t="shared" si="4"/>
        <v>1677.5999999999995</v>
      </c>
      <c r="L14" s="10">
        <f t="shared" si="5"/>
        <v>0.007365740740740663</v>
      </c>
      <c r="M14" s="60">
        <f t="shared" si="6"/>
        <v>106.06666666666554</v>
      </c>
      <c r="N14" s="61">
        <f t="shared" si="7"/>
        <v>3.5225048923679063</v>
      </c>
      <c r="O14" s="90">
        <f t="shared" si="11"/>
        <v>11.3</v>
      </c>
      <c r="P14" s="292"/>
      <c r="Q14" s="62"/>
      <c r="R14" s="5"/>
      <c r="S14" s="118">
        <f t="shared" si="8"/>
        <v>742.4</v>
      </c>
      <c r="T14" s="53">
        <f t="shared" si="9"/>
        <v>523.3</v>
      </c>
      <c r="U14" s="119">
        <f t="shared" si="10"/>
        <v>419</v>
      </c>
      <c r="V14" s="5"/>
      <c r="W14" s="123">
        <f t="shared" si="12"/>
        <v>11.25</v>
      </c>
      <c r="X14" s="89">
        <f t="shared" si="13"/>
        <v>16.875</v>
      </c>
      <c r="Y14" s="124">
        <f t="shared" si="14"/>
        <v>26</v>
      </c>
    </row>
    <row r="15" spans="2:25" ht="14.25">
      <c r="B15" s="87">
        <v>9</v>
      </c>
      <c r="C15" s="14">
        <v>2212</v>
      </c>
      <c r="D15" s="58" t="str">
        <f t="shared" si="0"/>
        <v>衣笠</v>
      </c>
      <c r="E15" s="15">
        <f t="shared" si="1"/>
        <v>8.952</v>
      </c>
      <c r="F15" s="59">
        <v>8</v>
      </c>
      <c r="G15" s="10">
        <v>0.5120138888888889</v>
      </c>
      <c r="H15" s="14">
        <f t="shared" si="2"/>
        <v>6437.999999999999</v>
      </c>
      <c r="I15" s="144">
        <f t="shared" si="3"/>
        <v>786.9</v>
      </c>
      <c r="J15" s="15"/>
      <c r="K15" s="27">
        <f t="shared" si="4"/>
        <v>1716.5999999999995</v>
      </c>
      <c r="L15" s="10">
        <f t="shared" si="5"/>
        <v>0.007817129629629552</v>
      </c>
      <c r="M15" s="60">
        <f t="shared" si="6"/>
        <v>112.56666666666554</v>
      </c>
      <c r="N15" s="61">
        <f t="shared" si="7"/>
        <v>3.355079217148183</v>
      </c>
      <c r="O15" s="90">
        <f t="shared" si="11"/>
        <v>10</v>
      </c>
      <c r="P15" s="292"/>
      <c r="Q15" s="62"/>
      <c r="R15" s="5"/>
      <c r="S15" s="118">
        <f t="shared" si="8"/>
        <v>786.9</v>
      </c>
      <c r="T15" s="53">
        <f t="shared" si="9"/>
        <v>555.5</v>
      </c>
      <c r="U15" s="119">
        <f t="shared" si="10"/>
        <v>446.1</v>
      </c>
      <c r="V15" s="5"/>
      <c r="W15" s="123">
        <f t="shared" si="12"/>
        <v>10</v>
      </c>
      <c r="X15" s="89">
        <f t="shared" si="13"/>
        <v>15</v>
      </c>
      <c r="Y15" s="124">
        <f t="shared" si="14"/>
        <v>24</v>
      </c>
    </row>
    <row r="16" spans="2:25" ht="14.25">
      <c r="B16" s="88">
        <v>10</v>
      </c>
      <c r="C16" s="16">
        <v>346</v>
      </c>
      <c r="D16" s="63" t="str">
        <f t="shared" si="0"/>
        <v>飛車角</v>
      </c>
      <c r="E16" s="17">
        <f t="shared" si="1"/>
        <v>8.495</v>
      </c>
      <c r="F16" s="64">
        <v>10</v>
      </c>
      <c r="G16" s="12">
        <v>0.5132638888888889</v>
      </c>
      <c r="H16" s="16">
        <f t="shared" si="2"/>
        <v>6545.999999999997</v>
      </c>
      <c r="I16" s="96">
        <f t="shared" si="3"/>
        <v>803.2</v>
      </c>
      <c r="J16" s="17"/>
      <c r="K16" s="28">
        <f t="shared" si="4"/>
        <v>1726.7999999999965</v>
      </c>
      <c r="L16" s="12">
        <f t="shared" si="5"/>
        <v>0.007935185185185073</v>
      </c>
      <c r="M16" s="65">
        <f t="shared" si="6"/>
        <v>114.26666666666506</v>
      </c>
      <c r="N16" s="66">
        <f t="shared" si="7"/>
        <v>3.2997250229147586</v>
      </c>
      <c r="O16" s="91">
        <f t="shared" si="11"/>
        <v>8.8</v>
      </c>
      <c r="P16" s="294"/>
      <c r="Q16" s="67"/>
      <c r="R16" s="5"/>
      <c r="S16" s="118">
        <f t="shared" si="8"/>
        <v>803.2</v>
      </c>
      <c r="T16" s="53">
        <f t="shared" si="9"/>
        <v>567.3</v>
      </c>
      <c r="U16" s="119">
        <f t="shared" si="10"/>
        <v>456</v>
      </c>
      <c r="V16" s="5"/>
      <c r="W16" s="123">
        <f t="shared" si="12"/>
        <v>8.75</v>
      </c>
      <c r="X16" s="89">
        <f t="shared" si="13"/>
        <v>13.125</v>
      </c>
      <c r="Y16" s="124">
        <f t="shared" si="14"/>
        <v>22</v>
      </c>
    </row>
    <row r="17" spans="2:25" ht="14.25">
      <c r="B17" s="86">
        <v>11</v>
      </c>
      <c r="C17" s="49">
        <v>4400</v>
      </c>
      <c r="D17" s="50" t="str">
        <f t="shared" si="0"/>
        <v>アイデアル</v>
      </c>
      <c r="E17" s="51">
        <f t="shared" si="1"/>
        <v>7.836</v>
      </c>
      <c r="F17" s="52">
        <v>11</v>
      </c>
      <c r="G17" s="8">
        <v>0.5161805555555555</v>
      </c>
      <c r="H17" s="18">
        <f t="shared" si="2"/>
        <v>6797.999999999998</v>
      </c>
      <c r="I17" s="160">
        <f t="shared" si="3"/>
        <v>828.9</v>
      </c>
      <c r="J17" s="146"/>
      <c r="K17" s="147">
        <f t="shared" si="4"/>
        <v>1824.5999999999985</v>
      </c>
      <c r="L17" s="13">
        <f t="shared" si="5"/>
        <v>0.009067129629629541</v>
      </c>
      <c r="M17" s="100">
        <f t="shared" si="6"/>
        <v>130.56666666666538</v>
      </c>
      <c r="N17" s="101">
        <f t="shared" si="7"/>
        <v>3.177405119152693</v>
      </c>
      <c r="O17" s="148">
        <f t="shared" si="11"/>
        <v>7.5</v>
      </c>
      <c r="P17" s="293"/>
      <c r="Q17" s="57"/>
      <c r="R17" s="5"/>
      <c r="S17" s="118">
        <f t="shared" si="8"/>
        <v>828.9</v>
      </c>
      <c r="T17" s="53">
        <f t="shared" si="9"/>
        <v>585.9</v>
      </c>
      <c r="U17" s="119">
        <f t="shared" si="10"/>
        <v>471.7</v>
      </c>
      <c r="V17" s="5"/>
      <c r="W17" s="123">
        <f t="shared" si="12"/>
        <v>7.5</v>
      </c>
      <c r="X17" s="89">
        <f t="shared" si="13"/>
        <v>11.25</v>
      </c>
      <c r="Y17" s="124">
        <f t="shared" si="14"/>
        <v>20</v>
      </c>
    </row>
    <row r="18" spans="2:25" ht="14.25">
      <c r="B18" s="87">
        <v>12</v>
      </c>
      <c r="C18" s="14">
        <v>2759</v>
      </c>
      <c r="D18" s="58" t="str">
        <f t="shared" si="0"/>
        <v>イクソラⅢ</v>
      </c>
      <c r="E18" s="15">
        <f t="shared" si="1"/>
        <v>6.679</v>
      </c>
      <c r="F18" s="59">
        <v>13</v>
      </c>
      <c r="G18" s="10">
        <v>0.5220023148148148</v>
      </c>
      <c r="H18" s="14">
        <f t="shared" si="2"/>
        <v>7301.000000000003</v>
      </c>
      <c r="I18" s="144">
        <f t="shared" si="3"/>
        <v>882.1</v>
      </c>
      <c r="J18" s="15"/>
      <c r="K18" s="27">
        <f t="shared" si="4"/>
        <v>2008.4000000000024</v>
      </c>
      <c r="L18" s="10">
        <f t="shared" si="5"/>
        <v>0.011194444444444401</v>
      </c>
      <c r="M18" s="60">
        <f t="shared" si="6"/>
        <v>161.19999999999936</v>
      </c>
      <c r="N18" s="61">
        <f t="shared" si="7"/>
        <v>2.95849883577592</v>
      </c>
      <c r="O18" s="90">
        <f t="shared" si="11"/>
        <v>6.3</v>
      </c>
      <c r="P18" s="292"/>
      <c r="Q18" s="62"/>
      <c r="R18" s="5"/>
      <c r="S18" s="118">
        <f t="shared" si="8"/>
        <v>882.1</v>
      </c>
      <c r="T18" s="53">
        <f t="shared" si="9"/>
        <v>624.6</v>
      </c>
      <c r="U18" s="119">
        <f t="shared" si="10"/>
        <v>504.5</v>
      </c>
      <c r="V18" s="5"/>
      <c r="W18" s="123">
        <f t="shared" si="12"/>
        <v>6.25</v>
      </c>
      <c r="X18" s="89">
        <f t="shared" si="13"/>
        <v>9.375</v>
      </c>
      <c r="Y18" s="124">
        <f t="shared" si="14"/>
        <v>18</v>
      </c>
    </row>
    <row r="19" spans="2:25" ht="14.25">
      <c r="B19" s="87">
        <v>13</v>
      </c>
      <c r="C19" s="14">
        <v>131</v>
      </c>
      <c r="D19" s="58" t="str">
        <f t="shared" si="0"/>
        <v>ふるたか</v>
      </c>
      <c r="E19" s="15">
        <f t="shared" si="1"/>
        <v>8.317</v>
      </c>
      <c r="F19" s="59">
        <v>12</v>
      </c>
      <c r="G19" s="10">
        <v>0.5175347222222222</v>
      </c>
      <c r="H19" s="14">
        <f t="shared" si="2"/>
        <v>6914.999999999997</v>
      </c>
      <c r="I19" s="144">
        <f t="shared" si="3"/>
        <v>809.8</v>
      </c>
      <c r="J19" s="15"/>
      <c r="K19" s="27">
        <f t="shared" si="4"/>
        <v>2056.199999999998</v>
      </c>
      <c r="L19" s="10">
        <f t="shared" si="5"/>
        <v>0.01174768518518509</v>
      </c>
      <c r="M19" s="60">
        <f t="shared" si="6"/>
        <v>169.1666666666653</v>
      </c>
      <c r="N19" s="61">
        <f t="shared" si="7"/>
        <v>3.1236442516268994</v>
      </c>
      <c r="O19" s="90">
        <f t="shared" si="11"/>
        <v>5</v>
      </c>
      <c r="P19" s="292"/>
      <c r="Q19" s="62"/>
      <c r="R19" s="5"/>
      <c r="S19" s="118">
        <f t="shared" si="8"/>
        <v>809.8</v>
      </c>
      <c r="T19" s="53">
        <f t="shared" si="9"/>
        <v>572.1</v>
      </c>
      <c r="U19" s="119">
        <f t="shared" si="10"/>
        <v>460.1</v>
      </c>
      <c r="V19" s="5"/>
      <c r="W19" s="123">
        <f t="shared" si="12"/>
        <v>5</v>
      </c>
      <c r="X19" s="89">
        <f t="shared" si="13"/>
        <v>7.5</v>
      </c>
      <c r="Y19" s="124">
        <f t="shared" si="14"/>
        <v>16</v>
      </c>
    </row>
    <row r="20" spans="2:25" ht="14.25">
      <c r="B20" s="87"/>
      <c r="C20" s="14"/>
      <c r="D20" s="58">
        <f aca="true" t="shared" si="15" ref="D20:D31">IF(ISBLANK(C20),"",VLOOKUP(C20,各艇データ,2,FALSE))</f>
      </c>
      <c r="E20" s="15">
        <f aca="true" t="shared" si="16" ref="E20:E31">IF(ISBLANK(C20),"",VLOOKUP(C20,各艇データ,3,FALSE))</f>
      </c>
      <c r="F20" s="59"/>
      <c r="G20" s="10"/>
      <c r="H20" s="14"/>
      <c r="I20" s="144"/>
      <c r="J20" s="15"/>
      <c r="K20" s="27"/>
      <c r="L20" s="10"/>
      <c r="M20" s="60"/>
      <c r="N20" s="61"/>
      <c r="O20" s="90"/>
      <c r="P20" s="292"/>
      <c r="Q20" s="62"/>
      <c r="R20" s="5"/>
      <c r="S20" s="118">
        <f t="shared" si="8"/>
      </c>
      <c r="T20" s="53">
        <f t="shared" si="9"/>
      </c>
      <c r="U20" s="119">
        <f t="shared" si="10"/>
      </c>
      <c r="V20" s="5"/>
      <c r="W20" s="123">
        <f t="shared" si="12"/>
      </c>
      <c r="X20" s="89">
        <f t="shared" si="13"/>
      </c>
      <c r="Y20" s="124">
        <f t="shared" si="14"/>
      </c>
    </row>
    <row r="21" spans="2:25" ht="14.25">
      <c r="B21" s="88"/>
      <c r="C21" s="16">
        <v>1545</v>
      </c>
      <c r="D21" s="63" t="str">
        <f t="shared" si="15"/>
        <v>ﾌﾘｰﾄﾞﾘｽⅦ</v>
      </c>
      <c r="E21" s="17">
        <f t="shared" si="16"/>
        <v>8.59</v>
      </c>
      <c r="F21" s="64" t="s">
        <v>335</v>
      </c>
      <c r="G21" s="12"/>
      <c r="H21" s="152"/>
      <c r="I21" s="159"/>
      <c r="J21" s="153"/>
      <c r="K21" s="154"/>
      <c r="L21" s="155"/>
      <c r="M21" s="156"/>
      <c r="N21" s="157"/>
      <c r="O21" s="158">
        <v>1</v>
      </c>
      <c r="P21" s="371" t="s">
        <v>338</v>
      </c>
      <c r="Q21" s="67"/>
      <c r="R21" s="5"/>
      <c r="S21" s="118">
        <f t="shared" si="8"/>
        <v>799.7</v>
      </c>
      <c r="T21" s="53">
        <f t="shared" si="9"/>
        <v>564.8</v>
      </c>
      <c r="U21" s="119">
        <f t="shared" si="10"/>
        <v>453.9</v>
      </c>
      <c r="V21" s="5"/>
      <c r="W21" s="123">
        <f t="shared" si="12"/>
      </c>
      <c r="X21" s="89">
        <f t="shared" si="13"/>
      </c>
      <c r="Y21" s="124">
        <f t="shared" si="14"/>
      </c>
    </row>
    <row r="22" spans="2:25" ht="14.25">
      <c r="B22" s="98"/>
      <c r="C22" s="18">
        <v>1985</v>
      </c>
      <c r="D22" s="50" t="str">
        <f t="shared" si="15"/>
        <v>波勝</v>
      </c>
      <c r="E22" s="51">
        <f t="shared" si="16"/>
        <v>7.059</v>
      </c>
      <c r="F22" s="99" t="s">
        <v>348</v>
      </c>
      <c r="G22" s="13"/>
      <c r="H22" s="49">
        <f aca="true" t="shared" si="17" ref="H22:H27">_xlfn.IFERROR(IF(G22-$Q$2&lt;=0,"",(G22-$Q$2)*86400),"")</f>
      </c>
      <c r="I22" s="93"/>
      <c r="J22" s="51"/>
      <c r="K22" s="54">
        <f aca="true" t="shared" si="18" ref="K22:K27">_xlfn.IFERROR(H22*(1+0.01*J22)-I22*$N$3,"")</f>
      </c>
      <c r="L22" s="8">
        <f aca="true" t="shared" si="19" ref="L22:L27">_xlfn.IFERROR((K22-$K$7)/86400,"")</f>
      </c>
      <c r="M22" s="55">
        <f aca="true" t="shared" si="20" ref="M22:M27">_xlfn.IFERROR((K22-$K$7)/$N$3,"")</f>
      </c>
      <c r="N22" s="56">
        <f aca="true" t="shared" si="21" ref="N22:N27">_xlfn.IFERROR($N$3/(H22/3600),"")</f>
      </c>
      <c r="O22" s="89">
        <v>10</v>
      </c>
      <c r="P22" s="372" t="s">
        <v>336</v>
      </c>
      <c r="Q22" s="102"/>
      <c r="R22" s="5"/>
      <c r="S22" s="118">
        <f t="shared" si="8"/>
        <v>863.3</v>
      </c>
      <c r="T22" s="53">
        <f t="shared" si="9"/>
        <v>610.9</v>
      </c>
      <c r="U22" s="119">
        <f t="shared" si="10"/>
        <v>492.9</v>
      </c>
      <c r="V22" s="5"/>
      <c r="W22" s="123">
        <f t="shared" si="12"/>
      </c>
      <c r="X22" s="89">
        <f t="shared" si="13"/>
      </c>
      <c r="Y22" s="124">
        <f t="shared" si="14"/>
      </c>
    </row>
    <row r="23" spans="2:25" ht="14.25">
      <c r="B23" s="87"/>
      <c r="C23" s="14">
        <v>162</v>
      </c>
      <c r="D23" s="58" t="str">
        <f t="shared" si="15"/>
        <v>ﾌｪﾆｯｸｽ</v>
      </c>
      <c r="E23" s="15">
        <f t="shared" si="16"/>
        <v>6.838</v>
      </c>
      <c r="F23" s="59" t="s">
        <v>348</v>
      </c>
      <c r="G23" s="10"/>
      <c r="H23" s="14"/>
      <c r="I23" s="144"/>
      <c r="J23" s="15"/>
      <c r="K23" s="27"/>
      <c r="L23" s="10"/>
      <c r="M23" s="60"/>
      <c r="N23" s="61"/>
      <c r="O23" s="90">
        <v>10</v>
      </c>
      <c r="P23" s="373" t="s">
        <v>337</v>
      </c>
      <c r="Q23" s="62"/>
      <c r="R23" s="5"/>
      <c r="S23" s="118">
        <f t="shared" si="8"/>
        <v>874.1</v>
      </c>
      <c r="T23" s="53">
        <f t="shared" si="9"/>
        <v>618.7</v>
      </c>
      <c r="U23" s="119">
        <f t="shared" si="10"/>
        <v>499.5</v>
      </c>
      <c r="V23" s="5"/>
      <c r="W23" s="123">
        <f t="shared" si="12"/>
      </c>
      <c r="X23" s="89">
        <f t="shared" si="13"/>
      </c>
      <c r="Y23" s="124">
        <f t="shared" si="14"/>
      </c>
    </row>
    <row r="24" spans="2:25" ht="14.25">
      <c r="B24" s="87"/>
      <c r="C24" s="14"/>
      <c r="D24" s="58">
        <f t="shared" si="15"/>
      </c>
      <c r="E24" s="15">
        <f t="shared" si="16"/>
      </c>
      <c r="F24" s="59"/>
      <c r="G24" s="10"/>
      <c r="H24" s="14"/>
      <c r="I24" s="144"/>
      <c r="J24" s="15"/>
      <c r="K24" s="27"/>
      <c r="L24" s="10"/>
      <c r="M24" s="60"/>
      <c r="N24" s="61"/>
      <c r="O24" s="90"/>
      <c r="P24" s="296"/>
      <c r="Q24" s="62"/>
      <c r="R24" s="5"/>
      <c r="S24" s="118">
        <f t="shared" si="8"/>
      </c>
      <c r="T24" s="53">
        <f t="shared" si="9"/>
      </c>
      <c r="U24" s="119">
        <f t="shared" si="10"/>
      </c>
      <c r="V24" s="5"/>
      <c r="W24" s="123">
        <f t="shared" si="12"/>
      </c>
      <c r="X24" s="89">
        <f t="shared" si="13"/>
      </c>
      <c r="Y24" s="124">
        <f t="shared" si="14"/>
      </c>
    </row>
    <row r="25" spans="2:25" ht="14.25">
      <c r="B25" s="87"/>
      <c r="C25" s="14"/>
      <c r="D25" s="58">
        <f t="shared" si="15"/>
      </c>
      <c r="E25" s="15">
        <f t="shared" si="16"/>
      </c>
      <c r="F25" s="59"/>
      <c r="G25" s="10"/>
      <c r="H25" s="14"/>
      <c r="I25" s="144"/>
      <c r="J25" s="15"/>
      <c r="K25" s="27"/>
      <c r="L25" s="10"/>
      <c r="M25" s="60"/>
      <c r="N25" s="61"/>
      <c r="O25" s="90"/>
      <c r="P25" s="296"/>
      <c r="Q25" s="62"/>
      <c r="R25" s="5"/>
      <c r="S25" s="118">
        <f t="shared" si="8"/>
      </c>
      <c r="T25" s="53">
        <f t="shared" si="9"/>
      </c>
      <c r="U25" s="119">
        <f t="shared" si="10"/>
      </c>
      <c r="V25" s="5"/>
      <c r="W25" s="123">
        <f t="shared" si="12"/>
      </c>
      <c r="X25" s="89">
        <f t="shared" si="13"/>
      </c>
      <c r="Y25" s="124">
        <f t="shared" si="14"/>
      </c>
    </row>
    <row r="26" spans="2:25" ht="14.25">
      <c r="B26" s="88"/>
      <c r="C26" s="16"/>
      <c r="D26" s="63">
        <f t="shared" si="15"/>
      </c>
      <c r="E26" s="17">
        <f t="shared" si="16"/>
      </c>
      <c r="F26" s="64"/>
      <c r="G26" s="12"/>
      <c r="H26" s="16">
        <f t="shared" si="17"/>
      </c>
      <c r="I26" s="96">
        <f>IF($I$6="Ⅰ",S26,IF($I$6="Ⅱ",T26,IF($I$6="Ⅲ",U26,"")))</f>
      </c>
      <c r="J26" s="17"/>
      <c r="K26" s="28">
        <f t="shared" si="18"/>
      </c>
      <c r="L26" s="12">
        <f t="shared" si="19"/>
      </c>
      <c r="M26" s="65">
        <f t="shared" si="20"/>
      </c>
      <c r="N26" s="66">
        <f t="shared" si="21"/>
      </c>
      <c r="O26" s="91">
        <f>IF($O$6="MAX=20",W26,IF($O$6="MAX=30",X26,IF($O$6="MAX=40",Y26,"")))</f>
      </c>
      <c r="P26" s="142"/>
      <c r="Q26" s="67"/>
      <c r="R26" s="5"/>
      <c r="S26" s="118">
        <f t="shared" si="8"/>
      </c>
      <c r="T26" s="53">
        <f t="shared" si="9"/>
      </c>
      <c r="U26" s="119">
        <f t="shared" si="10"/>
      </c>
      <c r="V26" s="5"/>
      <c r="W26" s="123">
        <f t="shared" si="12"/>
      </c>
      <c r="X26" s="89">
        <f t="shared" si="13"/>
      </c>
      <c r="Y26" s="124">
        <f t="shared" si="14"/>
      </c>
    </row>
    <row r="27" spans="2:25" ht="14.25">
      <c r="B27" s="98"/>
      <c r="C27" s="18"/>
      <c r="D27" s="145">
        <f t="shared" si="15"/>
      </c>
      <c r="E27" s="146">
        <f t="shared" si="16"/>
      </c>
      <c r="F27" s="99"/>
      <c r="G27" s="13"/>
      <c r="H27" s="18">
        <f t="shared" si="17"/>
      </c>
      <c r="I27" s="160">
        <f>IF($I$6="Ⅰ",S27,IF($I$6="Ⅱ",T27,IF($I$6="Ⅲ",U27,"")))</f>
      </c>
      <c r="J27" s="146"/>
      <c r="K27" s="147">
        <f t="shared" si="18"/>
      </c>
      <c r="L27" s="13">
        <f t="shared" si="19"/>
      </c>
      <c r="M27" s="100">
        <f t="shared" si="20"/>
      </c>
      <c r="N27" s="101">
        <f t="shared" si="21"/>
      </c>
      <c r="O27" s="148">
        <f>IF($O$6="MAX=20",W27,IF($O$6="MAX=30",X27,IF($O$6="MAX=40",Y27,"")))</f>
      </c>
      <c r="P27" s="143"/>
      <c r="Q27" s="102"/>
      <c r="R27" s="5"/>
      <c r="S27" s="118">
        <f t="shared" si="8"/>
      </c>
      <c r="T27" s="53">
        <f t="shared" si="9"/>
      </c>
      <c r="U27" s="119">
        <f t="shared" si="10"/>
      </c>
      <c r="V27" s="5"/>
      <c r="W27" s="123">
        <f t="shared" si="12"/>
      </c>
      <c r="X27" s="89">
        <f t="shared" si="13"/>
      </c>
      <c r="Y27" s="124">
        <f t="shared" si="14"/>
      </c>
    </row>
    <row r="28" spans="2:25" ht="14.25" customHeight="1">
      <c r="B28" s="87"/>
      <c r="C28" s="14"/>
      <c r="D28" s="58">
        <f t="shared" si="15"/>
      </c>
      <c r="E28" s="15">
        <f t="shared" si="16"/>
      </c>
      <c r="F28" s="59"/>
      <c r="G28" s="10"/>
      <c r="H28" s="437" t="s">
        <v>349</v>
      </c>
      <c r="I28" s="438"/>
      <c r="J28" s="438"/>
      <c r="K28" s="438"/>
      <c r="L28" s="438"/>
      <c r="M28" s="438"/>
      <c r="N28" s="438"/>
      <c r="O28" s="438"/>
      <c r="P28" s="438"/>
      <c r="Q28" s="439"/>
      <c r="R28" s="5"/>
      <c r="S28" s="118">
        <f t="shared" si="8"/>
      </c>
      <c r="T28" s="53">
        <f t="shared" si="9"/>
      </c>
      <c r="U28" s="119">
        <f t="shared" si="10"/>
      </c>
      <c r="V28" s="5"/>
      <c r="W28" s="123">
        <f t="shared" si="12"/>
      </c>
      <c r="X28" s="89">
        <f t="shared" si="13"/>
      </c>
      <c r="Y28" s="124">
        <f t="shared" si="14"/>
      </c>
    </row>
    <row r="29" spans="2:25" ht="14.25">
      <c r="B29" s="87"/>
      <c r="C29" s="14"/>
      <c r="D29" s="58">
        <f t="shared" si="15"/>
      </c>
      <c r="E29" s="15">
        <f t="shared" si="16"/>
      </c>
      <c r="F29" s="59"/>
      <c r="G29" s="10"/>
      <c r="H29" s="437"/>
      <c r="I29" s="438"/>
      <c r="J29" s="438"/>
      <c r="K29" s="438"/>
      <c r="L29" s="438"/>
      <c r="M29" s="438"/>
      <c r="N29" s="438"/>
      <c r="O29" s="438"/>
      <c r="P29" s="438"/>
      <c r="Q29" s="439"/>
      <c r="R29" s="5"/>
      <c r="S29" s="118">
        <f t="shared" si="8"/>
      </c>
      <c r="T29" s="53">
        <f>IF(ISBLANK(C29),"",VLOOKUP(C29,各艇データ,5,FALSE))</f>
      </c>
      <c r="U29" s="119">
        <f t="shared" si="10"/>
      </c>
      <c r="V29" s="5"/>
      <c r="W29" s="123">
        <f t="shared" si="12"/>
      </c>
      <c r="X29" s="89">
        <f t="shared" si="13"/>
      </c>
      <c r="Y29" s="124">
        <f t="shared" si="14"/>
      </c>
    </row>
    <row r="30" spans="2:25" ht="14.25" customHeight="1">
      <c r="B30" s="87"/>
      <c r="C30" s="14"/>
      <c r="D30" s="58">
        <f t="shared" si="15"/>
      </c>
      <c r="E30" s="15">
        <f t="shared" si="16"/>
      </c>
      <c r="F30" s="59"/>
      <c r="G30" s="10"/>
      <c r="H30" s="437"/>
      <c r="I30" s="438"/>
      <c r="J30" s="438"/>
      <c r="K30" s="438"/>
      <c r="L30" s="438"/>
      <c r="M30" s="438"/>
      <c r="N30" s="438"/>
      <c r="O30" s="438"/>
      <c r="P30" s="438"/>
      <c r="Q30" s="439"/>
      <c r="R30" s="5"/>
      <c r="S30" s="118">
        <f t="shared" si="8"/>
      </c>
      <c r="T30" s="53">
        <f t="shared" si="9"/>
      </c>
      <c r="U30" s="119">
        <f t="shared" si="10"/>
      </c>
      <c r="V30" s="5"/>
      <c r="W30" s="123">
        <f t="shared" si="12"/>
      </c>
      <c r="X30" s="89">
        <f t="shared" si="13"/>
      </c>
      <c r="Y30" s="124">
        <f t="shared" si="14"/>
      </c>
    </row>
    <row r="31" spans="2:25" ht="15" thickBot="1">
      <c r="B31" s="87"/>
      <c r="C31" s="14"/>
      <c r="D31" s="63">
        <f t="shared" si="15"/>
      </c>
      <c r="E31" s="17">
        <f t="shared" si="16"/>
      </c>
      <c r="F31" s="59"/>
      <c r="G31" s="10"/>
      <c r="H31" s="440"/>
      <c r="I31" s="441"/>
      <c r="J31" s="441"/>
      <c r="K31" s="441"/>
      <c r="L31" s="441"/>
      <c r="M31" s="441"/>
      <c r="N31" s="441"/>
      <c r="O31" s="441"/>
      <c r="P31" s="441"/>
      <c r="Q31" s="442"/>
      <c r="R31" s="5"/>
      <c r="S31" s="120">
        <f t="shared" si="8"/>
      </c>
      <c r="T31" s="121">
        <f t="shared" si="9"/>
      </c>
      <c r="U31" s="122">
        <f t="shared" si="10"/>
      </c>
      <c r="V31" s="5"/>
      <c r="W31" s="125">
        <f t="shared" si="12"/>
      </c>
      <c r="X31" s="126">
        <f t="shared" si="13"/>
      </c>
      <c r="Y31" s="68">
        <f t="shared" si="14"/>
      </c>
    </row>
    <row r="32" spans="2:22" ht="15" customHeight="1">
      <c r="B32" s="401" t="s">
        <v>78</v>
      </c>
      <c r="C32" s="402"/>
      <c r="D32" s="403"/>
      <c r="E32" s="367" t="s">
        <v>306</v>
      </c>
      <c r="F32" s="428" t="s">
        <v>339</v>
      </c>
      <c r="G32" s="398"/>
      <c r="H32" s="443" t="s">
        <v>347</v>
      </c>
      <c r="I32" s="444"/>
      <c r="J32" s="444"/>
      <c r="K32" s="444"/>
      <c r="L32" s="444"/>
      <c r="M32" s="444"/>
      <c r="N32" s="444"/>
      <c r="O32" s="444"/>
      <c r="P32" s="444"/>
      <c r="Q32" s="445"/>
      <c r="R32" s="1"/>
      <c r="T32" s="29"/>
      <c r="U32" s="1"/>
      <c r="V32" s="1"/>
    </row>
    <row r="33" spans="2:22" ht="15">
      <c r="B33" s="404"/>
      <c r="C33" s="405"/>
      <c r="D33" s="406"/>
      <c r="E33" s="368" t="s">
        <v>307</v>
      </c>
      <c r="F33" s="395" t="s">
        <v>340</v>
      </c>
      <c r="G33" s="396"/>
      <c r="H33" s="446"/>
      <c r="I33" s="447"/>
      <c r="J33" s="447"/>
      <c r="K33" s="447"/>
      <c r="L33" s="447"/>
      <c r="M33" s="447"/>
      <c r="N33" s="447"/>
      <c r="O33" s="447"/>
      <c r="P33" s="447"/>
      <c r="Q33" s="448"/>
      <c r="R33" s="1"/>
      <c r="U33" s="1"/>
      <c r="V33" s="1"/>
    </row>
    <row r="34" spans="2:22" ht="23.25" customHeight="1">
      <c r="B34" s="407"/>
      <c r="C34" s="408"/>
      <c r="D34" s="409"/>
      <c r="E34" s="368" t="s">
        <v>308</v>
      </c>
      <c r="F34" s="435"/>
      <c r="G34" s="436"/>
      <c r="H34" s="446"/>
      <c r="I34" s="447"/>
      <c r="J34" s="447"/>
      <c r="K34" s="447"/>
      <c r="L34" s="447"/>
      <c r="M34" s="447"/>
      <c r="N34" s="447"/>
      <c r="O34" s="447"/>
      <c r="P34" s="447"/>
      <c r="Q34" s="448"/>
      <c r="R34" s="1"/>
      <c r="U34" s="1"/>
      <c r="V34" s="1"/>
    </row>
    <row r="35" spans="2:22" ht="22.5" customHeight="1">
      <c r="B35" s="419" t="s">
        <v>79</v>
      </c>
      <c r="C35" s="420"/>
      <c r="D35" s="421"/>
      <c r="E35" s="429" t="s">
        <v>311</v>
      </c>
      <c r="F35" s="395" t="str">
        <f>'参照ﾃﾞｰﾀ'!AI5</f>
        <v>はやとり</v>
      </c>
      <c r="G35" s="396"/>
      <c r="H35" s="446"/>
      <c r="I35" s="447"/>
      <c r="J35" s="447"/>
      <c r="K35" s="447"/>
      <c r="L35" s="447"/>
      <c r="M35" s="447"/>
      <c r="N35" s="447"/>
      <c r="O35" s="447"/>
      <c r="P35" s="447"/>
      <c r="Q35" s="448"/>
      <c r="R35" s="1"/>
      <c r="U35" s="1"/>
      <c r="V35" s="1"/>
    </row>
    <row r="36" spans="2:22" ht="15" customHeight="1">
      <c r="B36" s="422"/>
      <c r="C36" s="423"/>
      <c r="D36" s="424"/>
      <c r="E36" s="430"/>
      <c r="F36" s="431" t="str">
        <f>'参照ﾃﾞｰﾀ'!AJ5</f>
        <v>アルファ</v>
      </c>
      <c r="G36" s="432"/>
      <c r="H36" s="446"/>
      <c r="I36" s="447"/>
      <c r="J36" s="447"/>
      <c r="K36" s="447"/>
      <c r="L36" s="447"/>
      <c r="M36" s="447"/>
      <c r="N36" s="447"/>
      <c r="O36" s="447"/>
      <c r="P36" s="447"/>
      <c r="Q36" s="448"/>
      <c r="R36" s="1"/>
      <c r="U36" s="1"/>
      <c r="V36" s="1"/>
    </row>
    <row r="37" spans="2:22" ht="15" customHeight="1">
      <c r="B37" s="422"/>
      <c r="C37" s="423"/>
      <c r="D37" s="424"/>
      <c r="E37" s="367" t="s">
        <v>309</v>
      </c>
      <c r="F37" s="397">
        <f>'参照ﾃﾞｰﾀ'!R6</f>
        <v>42449</v>
      </c>
      <c r="G37" s="398"/>
      <c r="H37" s="446"/>
      <c r="I37" s="447"/>
      <c r="J37" s="447"/>
      <c r="K37" s="447"/>
      <c r="L37" s="447"/>
      <c r="M37" s="447"/>
      <c r="N37" s="447"/>
      <c r="O37" s="447"/>
      <c r="P37" s="447"/>
      <c r="Q37" s="448"/>
      <c r="R37" s="1"/>
      <c r="U37" s="1"/>
      <c r="V37" s="1"/>
    </row>
    <row r="38" spans="2:22" ht="15">
      <c r="B38" s="422"/>
      <c r="C38" s="423"/>
      <c r="D38" s="424"/>
      <c r="E38" s="368" t="s">
        <v>325</v>
      </c>
      <c r="F38" s="395" t="str">
        <f>'参照ﾃﾞｰﾀ'!AH6</f>
        <v>DまたはE</v>
      </c>
      <c r="G38" s="396"/>
      <c r="H38" s="446"/>
      <c r="I38" s="447"/>
      <c r="J38" s="447"/>
      <c r="K38" s="447"/>
      <c r="L38" s="447"/>
      <c r="M38" s="447"/>
      <c r="N38" s="447"/>
      <c r="O38" s="447"/>
      <c r="P38" s="447"/>
      <c r="Q38" s="448"/>
      <c r="R38" s="1"/>
      <c r="U38" s="1"/>
      <c r="V38" s="1"/>
    </row>
    <row r="39" spans="2:22" ht="15">
      <c r="B39" s="422"/>
      <c r="C39" s="423"/>
      <c r="D39" s="424"/>
      <c r="E39" s="368" t="s">
        <v>310</v>
      </c>
      <c r="F39" s="395" t="str">
        <f>'参照ﾃﾞｰﾀ'!AI6</f>
        <v>フェニックス</v>
      </c>
      <c r="G39" s="396"/>
      <c r="H39" s="446"/>
      <c r="I39" s="447"/>
      <c r="J39" s="447"/>
      <c r="K39" s="447"/>
      <c r="L39" s="447"/>
      <c r="M39" s="447"/>
      <c r="N39" s="447"/>
      <c r="O39" s="447"/>
      <c r="P39" s="447"/>
      <c r="Q39" s="448"/>
      <c r="R39" s="1"/>
      <c r="U39" s="1"/>
      <c r="V39" s="1"/>
    </row>
    <row r="40" spans="2:22" ht="15">
      <c r="B40" s="422"/>
      <c r="C40" s="423"/>
      <c r="D40" s="424"/>
      <c r="E40" s="368"/>
      <c r="F40" s="395"/>
      <c r="G40" s="396"/>
      <c r="H40" s="446"/>
      <c r="I40" s="447"/>
      <c r="J40" s="447"/>
      <c r="K40" s="447"/>
      <c r="L40" s="447"/>
      <c r="M40" s="447"/>
      <c r="N40" s="447"/>
      <c r="O40" s="447"/>
      <c r="P40" s="447"/>
      <c r="Q40" s="448"/>
      <c r="R40" s="1"/>
      <c r="U40" s="1"/>
      <c r="V40" s="1"/>
    </row>
    <row r="41" spans="2:22" ht="11.25" customHeight="1" thickBot="1">
      <c r="B41" s="425"/>
      <c r="C41" s="426"/>
      <c r="D41" s="427"/>
      <c r="E41" s="369"/>
      <c r="F41" s="433"/>
      <c r="G41" s="434"/>
      <c r="H41" s="449"/>
      <c r="I41" s="450"/>
      <c r="J41" s="450"/>
      <c r="K41" s="450"/>
      <c r="L41" s="450"/>
      <c r="M41" s="450"/>
      <c r="N41" s="450"/>
      <c r="O41" s="450"/>
      <c r="P41" s="450"/>
      <c r="Q41" s="451"/>
      <c r="R41" s="1"/>
      <c r="S41" s="1"/>
      <c r="T41" s="1"/>
      <c r="U41" s="1"/>
      <c r="V41" s="1"/>
    </row>
  </sheetData>
  <sheetProtection password="EDAE" sheet="1"/>
  <mergeCells count="19">
    <mergeCell ref="P5:Q5"/>
    <mergeCell ref="B32:D34"/>
    <mergeCell ref="H32:Q41"/>
    <mergeCell ref="B35:D41"/>
    <mergeCell ref="F32:G32"/>
    <mergeCell ref="E35:E36"/>
    <mergeCell ref="F35:G35"/>
    <mergeCell ref="F36:G36"/>
    <mergeCell ref="F37:G37"/>
    <mergeCell ref="D2:F2"/>
    <mergeCell ref="E3:I3"/>
    <mergeCell ref="F38:G38"/>
    <mergeCell ref="F39:G39"/>
    <mergeCell ref="F40:G40"/>
    <mergeCell ref="F41:G41"/>
    <mergeCell ref="F33:G33"/>
    <mergeCell ref="F34:G34"/>
    <mergeCell ref="H28:Q31"/>
    <mergeCell ref="J3:K3"/>
  </mergeCells>
  <dataValidations count="8">
    <dataValidation type="list" allowBlank="1" showInputMessage="1" showErrorMessage="1" sqref="P2">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rintOptions/>
  <pageMargins left="0.31496062992125984" right="0" top="0.35433070866141736" bottom="0.1968503937007874" header="0" footer="0"/>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Y41"/>
  <sheetViews>
    <sheetView zoomScale="85" zoomScaleNormal="85" zoomScalePageLayoutView="0" workbookViewId="0" topLeftCell="A1">
      <selection activeCell="H32" sqref="H32:Q41"/>
    </sheetView>
  </sheetViews>
  <sheetFormatPr defaultColWidth="9.140625" defaultRowHeight="15"/>
  <cols>
    <col min="1" max="1" width="1.7109375" style="0" customWidth="1"/>
    <col min="2" max="2" width="5.00390625" style="0" customWidth="1"/>
    <col min="3" max="3" width="7.00390625" style="0" customWidth="1"/>
    <col min="4" max="4" width="18.00390625" style="0" customWidth="1"/>
    <col min="5" max="5" width="9.140625" style="0" customWidth="1"/>
    <col min="6" max="6" width="5.00390625" style="0" customWidth="1"/>
    <col min="7" max="7" width="10.8515625" style="0" customWidth="1"/>
    <col min="8" max="8" width="8.421875" style="0" customWidth="1"/>
    <col min="9" max="9" width="7.57421875" style="0" customWidth="1"/>
    <col min="10" max="10" width="5.00390625" style="0" customWidth="1"/>
    <col min="11" max="11" width="8.421875" style="0" customWidth="1"/>
    <col min="12" max="12" width="10.8515625" style="0" customWidth="1"/>
    <col min="13" max="13" width="9.28125" style="0" customWidth="1"/>
    <col min="14" max="14" width="7.8515625" style="0" customWidth="1"/>
    <col min="15" max="15" width="8.00390625" style="0" customWidth="1"/>
    <col min="16" max="16" width="11.28125" style="0" customWidth="1"/>
    <col min="17" max="17" width="12.28125" style="0" customWidth="1"/>
    <col min="18" max="18" width="4.8515625" style="0" customWidth="1"/>
    <col min="19" max="19" width="7.7109375" style="0" customWidth="1"/>
    <col min="20" max="21" width="7.57421875" style="0" customWidth="1"/>
    <col min="22" max="22" width="4.421875" style="0" customWidth="1"/>
    <col min="23" max="25" width="8.00390625" style="0" customWidth="1"/>
  </cols>
  <sheetData>
    <row r="1" ht="9.75" customHeight="1" thickBot="1"/>
    <row r="2" spans="2:22" ht="21">
      <c r="B2" s="1"/>
      <c r="C2" s="2"/>
      <c r="D2" s="392" t="str">
        <f>'参照ﾃﾞｰﾀ'!N4</f>
        <v>2016年</v>
      </c>
      <c r="E2" s="392"/>
      <c r="F2" s="392"/>
      <c r="G2" s="95" t="s">
        <v>313</v>
      </c>
      <c r="H2" s="38"/>
      <c r="I2" s="3"/>
      <c r="J2" s="1"/>
      <c r="K2" s="26"/>
      <c r="L2" s="1"/>
      <c r="M2" s="78" t="s">
        <v>65</v>
      </c>
      <c r="N2" s="79" t="s">
        <v>176</v>
      </c>
      <c r="O2" s="80" t="s">
        <v>68</v>
      </c>
      <c r="P2" s="132">
        <v>42449</v>
      </c>
      <c r="Q2" s="114">
        <v>0.3958333333333333</v>
      </c>
      <c r="R2" s="1"/>
      <c r="S2" s="1"/>
      <c r="T2" s="1"/>
      <c r="U2" s="1"/>
      <c r="V2" s="1"/>
    </row>
    <row r="3" spans="2:23" ht="21.75" customHeight="1" thickBot="1">
      <c r="B3" s="1"/>
      <c r="D3" s="162" t="s">
        <v>214</v>
      </c>
      <c r="E3" s="393" t="s">
        <v>82</v>
      </c>
      <c r="F3" s="393"/>
      <c r="G3" s="393"/>
      <c r="H3" s="393"/>
      <c r="I3" s="393"/>
      <c r="J3" s="394" t="s">
        <v>105</v>
      </c>
      <c r="K3" s="394"/>
      <c r="L3" s="4"/>
      <c r="M3" s="137" t="s">
        <v>94</v>
      </c>
      <c r="N3" s="139">
        <f>IF(ISBLANK(N2),"",VLOOKUP(N2,コース・距離,2,FALSE))</f>
        <v>21.5</v>
      </c>
      <c r="O3" s="81" t="s">
        <v>0</v>
      </c>
      <c r="P3" s="82">
        <v>16</v>
      </c>
      <c r="Q3" s="83" t="s">
        <v>1</v>
      </c>
      <c r="R3" s="1"/>
      <c r="S3" s="112" t="s">
        <v>2</v>
      </c>
      <c r="T3" s="69"/>
      <c r="U3" s="69"/>
      <c r="V3" s="1"/>
      <c r="W3" s="127" t="s">
        <v>95</v>
      </c>
    </row>
    <row r="4" spans="2:22" ht="7.5" customHeight="1" thickBot="1">
      <c r="B4" s="1"/>
      <c r="C4" s="1"/>
      <c r="D4" s="1"/>
      <c r="E4" s="1"/>
      <c r="F4" s="1"/>
      <c r="G4" s="1"/>
      <c r="H4" s="1"/>
      <c r="I4" s="1"/>
      <c r="J4" s="1"/>
      <c r="K4" s="1"/>
      <c r="L4" s="1"/>
      <c r="M4" s="1"/>
      <c r="N4" s="1"/>
      <c r="O4" s="1"/>
      <c r="P4" s="1"/>
      <c r="Q4" s="1"/>
      <c r="R4" s="1"/>
      <c r="S4" s="70"/>
      <c r="T4" s="69"/>
      <c r="U4" s="69"/>
      <c r="V4" s="1"/>
    </row>
    <row r="5" spans="2:25" ht="14.25">
      <c r="B5" s="97" t="s">
        <v>3</v>
      </c>
      <c r="C5" s="76" t="s">
        <v>4</v>
      </c>
      <c r="D5" s="76" t="s">
        <v>5</v>
      </c>
      <c r="E5" s="76" t="s">
        <v>6</v>
      </c>
      <c r="F5" s="76" t="s">
        <v>7</v>
      </c>
      <c r="G5" s="76" t="s">
        <v>8</v>
      </c>
      <c r="H5" s="76" t="s">
        <v>9</v>
      </c>
      <c r="I5" s="76" t="s">
        <v>10</v>
      </c>
      <c r="J5" s="76" t="s">
        <v>11</v>
      </c>
      <c r="K5" s="76" t="s">
        <v>12</v>
      </c>
      <c r="L5" s="77" t="s">
        <v>72</v>
      </c>
      <c r="M5" s="77" t="s">
        <v>73</v>
      </c>
      <c r="N5" s="76" t="s">
        <v>90</v>
      </c>
      <c r="O5" s="76" t="s">
        <v>13</v>
      </c>
      <c r="P5" s="399" t="s">
        <v>89</v>
      </c>
      <c r="Q5" s="400"/>
      <c r="R5" s="5"/>
      <c r="S5" s="75" t="s">
        <v>10</v>
      </c>
      <c r="T5" s="76" t="s">
        <v>10</v>
      </c>
      <c r="U5" s="115" t="s">
        <v>10</v>
      </c>
      <c r="V5" s="5"/>
      <c r="W5" s="75" t="s">
        <v>13</v>
      </c>
      <c r="X5" s="76" t="s">
        <v>13</v>
      </c>
      <c r="Y5" s="115" t="s">
        <v>13</v>
      </c>
    </row>
    <row r="6" spans="2:25" ht="14.25">
      <c r="B6" s="43"/>
      <c r="C6" s="44" t="s">
        <v>14</v>
      </c>
      <c r="D6" s="45"/>
      <c r="E6" s="46" t="s">
        <v>15</v>
      </c>
      <c r="F6" s="46"/>
      <c r="G6" s="44" t="s">
        <v>16</v>
      </c>
      <c r="H6" s="46" t="s">
        <v>17</v>
      </c>
      <c r="I6" s="44" t="s">
        <v>199</v>
      </c>
      <c r="J6" s="46" t="s">
        <v>18</v>
      </c>
      <c r="K6" s="46" t="s">
        <v>17</v>
      </c>
      <c r="L6" s="44" t="s">
        <v>16</v>
      </c>
      <c r="M6" s="46" t="s">
        <v>58</v>
      </c>
      <c r="N6" s="46" t="s">
        <v>19</v>
      </c>
      <c r="O6" s="71" t="str">
        <f>IF(ISBLANK($N$2),"",VLOOKUP($N$2,コース・距離,3,FALSE))</f>
        <v>MAX=30</v>
      </c>
      <c r="P6" s="47">
        <f>IF($N$2="初島","初島MAG0°","")</f>
      </c>
      <c r="Q6" s="48"/>
      <c r="R6" s="6"/>
      <c r="S6" s="116" t="s">
        <v>20</v>
      </c>
      <c r="T6" s="71" t="s">
        <v>22</v>
      </c>
      <c r="U6" s="117" t="s">
        <v>21</v>
      </c>
      <c r="V6" s="6"/>
      <c r="W6" s="116" t="s">
        <v>97</v>
      </c>
      <c r="X6" s="71" t="s">
        <v>98</v>
      </c>
      <c r="Y6" s="117" t="s">
        <v>99</v>
      </c>
    </row>
    <row r="7" spans="2:25" ht="14.25">
      <c r="B7" s="86">
        <v>1</v>
      </c>
      <c r="C7" s="377">
        <v>1611</v>
      </c>
      <c r="D7" s="50" t="str">
        <f aca="true" t="shared" si="0" ref="D7:D22">IF(ISBLANK(C7),"",VLOOKUP(C7,各艇データ,2,FALSE))</f>
        <v>ﾈﾌﾟﾁｭｰﾝXⅡ</v>
      </c>
      <c r="E7" s="51">
        <f aca="true" t="shared" si="1" ref="E7:E22">IF(ISBLANK(C7),"",VLOOKUP(C7,各艇データ,3,FALSE))</f>
        <v>8.438</v>
      </c>
      <c r="F7" s="52">
        <v>4</v>
      </c>
      <c r="G7" s="8">
        <v>0.5539930555555556</v>
      </c>
      <c r="H7" s="49">
        <f aca="true" t="shared" si="2" ref="H7:H21">_xlfn.IFERROR(IF(G7-$Q$2&lt;=0,"",(G7-$Q$2)*86400),"")</f>
        <v>13665.000000000002</v>
      </c>
      <c r="I7" s="93">
        <f aca="true" t="shared" si="3" ref="I7:I21">IF($I$6="Ⅰ",S7,IF($I$6="Ⅱ",T7,IF($I$6="Ⅲ",U7,"")))</f>
        <v>568.8</v>
      </c>
      <c r="J7" s="113"/>
      <c r="K7" s="54">
        <f aca="true" t="shared" si="4" ref="K7:K21">_xlfn.IFERROR(H7*(1+0.01*J7)-I7*$N$3,"")</f>
        <v>1435.800000000003</v>
      </c>
      <c r="L7" s="8">
        <f>_xlfn.IFERROR((K7-$K$7)/86400,"")</f>
        <v>0</v>
      </c>
      <c r="M7" s="55">
        <f>_xlfn.IFERROR((K7-$K$7)/$N$3,"")</f>
        <v>0</v>
      </c>
      <c r="N7" s="56">
        <f>_xlfn.IFERROR($N$3/(H7/3600),"")</f>
        <v>5.664105378704719</v>
      </c>
      <c r="O7" s="89">
        <f>ROUND(IF($O$6="MAX=20",W7,IF($O$6="MAX=30",X7,IF($O$6="MAX=40",Y7,""))),1)</f>
        <v>30</v>
      </c>
      <c r="P7" s="140"/>
      <c r="Q7" s="57"/>
      <c r="R7" s="5"/>
      <c r="S7" s="118">
        <f aca="true" t="shared" si="5" ref="S7:S31">IF(ISBLANK(C7),"",VLOOKUP(C7,各艇データ,4,FALSE))</f>
        <v>805.3</v>
      </c>
      <c r="T7" s="53">
        <f aca="true" t="shared" si="6" ref="T7:T31">IF(ISBLANK(C7),"",VLOOKUP(C7,各艇データ,5,FALSE))</f>
        <v>568.8</v>
      </c>
      <c r="U7" s="119">
        <f aca="true" t="shared" si="7" ref="U7:U31">IF(ISBLANK(C7),"",VLOOKUP(C7,各艇データ,6,FALSE))</f>
        <v>457.3</v>
      </c>
      <c r="V7" s="5"/>
      <c r="W7" s="123">
        <f>IF(ISBLANK(B7),"",_xlfn.IFERROR(20*($P$3+1-$B7)/$P$3,"20.0"))</f>
        <v>20</v>
      </c>
      <c r="X7" s="89">
        <f>IF(ISBLANK(B7),"",_xlfn.IFERROR(30*($P$3+1-$B7)/$P$3,"30.0"))</f>
        <v>30</v>
      </c>
      <c r="Y7" s="124">
        <f>IF(ISBLANK(B7),"",_xlfn.IFERROR(30*($P$3-$B7)/($P$3-1)+10,"20.0"))</f>
        <v>40</v>
      </c>
    </row>
    <row r="8" spans="2:25" ht="14.25">
      <c r="B8" s="87">
        <v>2</v>
      </c>
      <c r="C8" s="14">
        <v>321</v>
      </c>
      <c r="D8" s="58" t="str">
        <f t="shared" si="0"/>
        <v>かまくら</v>
      </c>
      <c r="E8" s="15">
        <f t="shared" si="1"/>
        <v>9.242</v>
      </c>
      <c r="F8" s="59">
        <v>2</v>
      </c>
      <c r="G8" s="10">
        <v>0.5501273148148148</v>
      </c>
      <c r="H8" s="14">
        <f t="shared" si="2"/>
        <v>13331</v>
      </c>
      <c r="I8" s="144">
        <f t="shared" si="3"/>
        <v>548.5</v>
      </c>
      <c r="J8" s="15"/>
      <c r="K8" s="27">
        <f t="shared" si="4"/>
        <v>1538.25</v>
      </c>
      <c r="L8" s="10">
        <f>_xlfn.IFERROR((K8-$K$7)/86400,"")</f>
        <v>0.0011857638888888552</v>
      </c>
      <c r="M8" s="60">
        <f aca="true" t="shared" si="8" ref="M8:M31">_xlfn.IFERROR((K8-$K$7)/$N$3,"")</f>
        <v>4.765116279069632</v>
      </c>
      <c r="N8" s="61">
        <f aca="true" t="shared" si="9" ref="N8:N31">_xlfn.IFERROR($N$3/(H8/3600),"")</f>
        <v>5.806016052809241</v>
      </c>
      <c r="O8" s="90">
        <f aca="true" t="shared" si="10" ref="O8:O20">ROUND(IF($O$6="MAX=20",W8,IF($O$6="MAX=30",X8,IF($O$6="MAX=40",Y8,""))),1)</f>
        <v>28.1</v>
      </c>
      <c r="P8" s="141"/>
      <c r="Q8" s="62"/>
      <c r="R8" s="5"/>
      <c r="S8" s="118">
        <f t="shared" si="5"/>
        <v>777.2</v>
      </c>
      <c r="T8" s="53">
        <f t="shared" si="6"/>
        <v>548.5</v>
      </c>
      <c r="U8" s="119">
        <f t="shared" si="7"/>
        <v>440.1</v>
      </c>
      <c r="V8" s="5"/>
      <c r="W8" s="123">
        <f aca="true" t="shared" si="11" ref="W8:W31">IF(ISBLANK(B8),"",_xlfn.IFERROR(20*($P$3+1-$B8)/$P$3,"20.0"))</f>
        <v>18.75</v>
      </c>
      <c r="X8" s="89">
        <f aca="true" t="shared" si="12" ref="X8:X31">IF(ISBLANK(B8),"",_xlfn.IFERROR(30*($P$3+1-$B8)/$P$3,"30.0"))</f>
        <v>28.125</v>
      </c>
      <c r="Y8" s="124">
        <f aca="true" t="shared" si="13" ref="Y8:Y31">IF(ISBLANK(B8),"",_xlfn.IFERROR(30*($P$3-$B8)/($P$3-1)+10,"20.0"))</f>
        <v>38</v>
      </c>
    </row>
    <row r="9" spans="2:25" ht="14.25">
      <c r="B9" s="87">
        <v>3</v>
      </c>
      <c r="C9" s="14">
        <v>1985</v>
      </c>
      <c r="D9" s="58" t="str">
        <f t="shared" si="0"/>
        <v>波勝</v>
      </c>
      <c r="E9" s="15">
        <f t="shared" si="1"/>
        <v>7.059</v>
      </c>
      <c r="F9" s="59">
        <v>12</v>
      </c>
      <c r="G9" s="10">
        <v>0.5665046296296297</v>
      </c>
      <c r="H9" s="14">
        <f t="shared" si="2"/>
        <v>14746.000000000004</v>
      </c>
      <c r="I9" s="144">
        <f t="shared" si="3"/>
        <v>610.9</v>
      </c>
      <c r="J9" s="15"/>
      <c r="K9" s="27">
        <f t="shared" si="4"/>
        <v>1611.6500000000033</v>
      </c>
      <c r="L9" s="10">
        <f aca="true" t="shared" si="14" ref="L9:L31">_xlfn.IFERROR((K9-$K$7)/86400,"")</f>
        <v>0.00203530092592593</v>
      </c>
      <c r="M9" s="60">
        <f t="shared" si="8"/>
        <v>8.179069767441877</v>
      </c>
      <c r="N9" s="61">
        <f t="shared" si="9"/>
        <v>5.24888105248881</v>
      </c>
      <c r="O9" s="90">
        <f t="shared" si="10"/>
        <v>26.3</v>
      </c>
      <c r="P9" s="141"/>
      <c r="Q9" s="62"/>
      <c r="R9" s="5"/>
      <c r="S9" s="118">
        <f t="shared" si="5"/>
        <v>863.3</v>
      </c>
      <c r="T9" s="53">
        <f t="shared" si="6"/>
        <v>610.9</v>
      </c>
      <c r="U9" s="119">
        <f t="shared" si="7"/>
        <v>492.9</v>
      </c>
      <c r="V9" s="5"/>
      <c r="W9" s="123">
        <f t="shared" si="11"/>
        <v>17.5</v>
      </c>
      <c r="X9" s="89">
        <f t="shared" si="12"/>
        <v>26.25</v>
      </c>
      <c r="Y9" s="124">
        <f t="shared" si="13"/>
        <v>36</v>
      </c>
    </row>
    <row r="10" spans="2:25" ht="14.25">
      <c r="B10" s="87">
        <v>4</v>
      </c>
      <c r="C10" s="14">
        <v>5752</v>
      </c>
      <c r="D10" s="58" t="str">
        <f t="shared" si="0"/>
        <v>アルファ</v>
      </c>
      <c r="E10" s="15">
        <f t="shared" si="1"/>
        <v>10.394</v>
      </c>
      <c r="F10" s="59">
        <v>1</v>
      </c>
      <c r="G10" s="10">
        <v>0.5454513888888889</v>
      </c>
      <c r="H10" s="14">
        <f t="shared" si="2"/>
        <v>12927.000000000002</v>
      </c>
      <c r="I10" s="144">
        <f t="shared" si="3"/>
        <v>523.3</v>
      </c>
      <c r="J10" s="15"/>
      <c r="K10" s="27">
        <f t="shared" si="4"/>
        <v>1676.050000000003</v>
      </c>
      <c r="L10" s="10">
        <f t="shared" si="14"/>
        <v>0.0027806712962962963</v>
      </c>
      <c r="M10" s="60">
        <f t="shared" si="8"/>
        <v>11.174418604651162</v>
      </c>
      <c r="N10" s="61">
        <f t="shared" si="9"/>
        <v>5.987468090044093</v>
      </c>
      <c r="O10" s="90">
        <f t="shared" si="10"/>
        <v>24.4</v>
      </c>
      <c r="P10" s="141"/>
      <c r="Q10" s="62"/>
      <c r="R10" s="5"/>
      <c r="S10" s="118">
        <f t="shared" si="5"/>
        <v>742.4</v>
      </c>
      <c r="T10" s="53">
        <f t="shared" si="6"/>
        <v>523.3</v>
      </c>
      <c r="U10" s="119">
        <f t="shared" si="7"/>
        <v>419</v>
      </c>
      <c r="V10" s="5"/>
      <c r="W10" s="123">
        <f t="shared" si="11"/>
        <v>16.25</v>
      </c>
      <c r="X10" s="89">
        <f t="shared" si="12"/>
        <v>24.375</v>
      </c>
      <c r="Y10" s="124">
        <f t="shared" si="13"/>
        <v>34</v>
      </c>
    </row>
    <row r="11" spans="2:25" ht="14.25">
      <c r="B11" s="88">
        <v>5</v>
      </c>
      <c r="C11" s="16">
        <v>312</v>
      </c>
      <c r="D11" s="63" t="str">
        <f t="shared" si="0"/>
        <v>はやとり</v>
      </c>
      <c r="E11" s="17">
        <f t="shared" si="1"/>
        <v>8.359</v>
      </c>
      <c r="F11" s="64">
        <v>6</v>
      </c>
      <c r="G11" s="12">
        <v>0.557650462962963</v>
      </c>
      <c r="H11" s="152">
        <f t="shared" si="2"/>
        <v>13981</v>
      </c>
      <c r="I11" s="159">
        <f t="shared" si="3"/>
        <v>571</v>
      </c>
      <c r="J11" s="153"/>
      <c r="K11" s="154">
        <f t="shared" si="4"/>
        <v>1704.5</v>
      </c>
      <c r="L11" s="155">
        <f t="shared" si="14"/>
        <v>0.00310995370370367</v>
      </c>
      <c r="M11" s="156">
        <f t="shared" si="8"/>
        <v>12.497674418604516</v>
      </c>
      <c r="N11" s="157">
        <f t="shared" si="9"/>
        <v>5.53608468636006</v>
      </c>
      <c r="O11" s="158">
        <f t="shared" si="10"/>
        <v>22.5</v>
      </c>
      <c r="P11" s="142"/>
      <c r="Q11" s="67"/>
      <c r="R11" s="5"/>
      <c r="S11" s="118">
        <f t="shared" si="5"/>
        <v>808.2</v>
      </c>
      <c r="T11" s="53">
        <f t="shared" si="6"/>
        <v>571</v>
      </c>
      <c r="U11" s="119">
        <f t="shared" si="7"/>
        <v>459.1</v>
      </c>
      <c r="V11" s="5"/>
      <c r="W11" s="123">
        <f t="shared" si="11"/>
        <v>15</v>
      </c>
      <c r="X11" s="89">
        <f t="shared" si="12"/>
        <v>22.5</v>
      </c>
      <c r="Y11" s="124">
        <f t="shared" si="13"/>
        <v>32</v>
      </c>
    </row>
    <row r="12" spans="2:25" ht="14.25">
      <c r="B12" s="86">
        <v>6</v>
      </c>
      <c r="C12" s="49">
        <v>5755</v>
      </c>
      <c r="D12" s="145" t="str">
        <f t="shared" si="0"/>
        <v>ランカ</v>
      </c>
      <c r="E12" s="146">
        <f t="shared" si="1"/>
        <v>7.789</v>
      </c>
      <c r="F12" s="52">
        <v>9</v>
      </c>
      <c r="G12" s="8">
        <v>0.5645254629629629</v>
      </c>
      <c r="H12" s="49">
        <f t="shared" si="2"/>
        <v>14574.999999999996</v>
      </c>
      <c r="I12" s="93">
        <f t="shared" si="3"/>
        <v>587.4</v>
      </c>
      <c r="J12" s="51"/>
      <c r="K12" s="54">
        <f t="shared" si="4"/>
        <v>1945.899999999996</v>
      </c>
      <c r="L12" s="8">
        <f t="shared" si="14"/>
        <v>0.005903935185185105</v>
      </c>
      <c r="M12" s="55">
        <f t="shared" si="8"/>
        <v>23.725581395348517</v>
      </c>
      <c r="N12" s="56">
        <f t="shared" si="9"/>
        <v>5.3104631217838785</v>
      </c>
      <c r="O12" s="89">
        <f t="shared" si="10"/>
        <v>20.6</v>
      </c>
      <c r="P12" s="140"/>
      <c r="Q12" s="57"/>
      <c r="R12" s="5"/>
      <c r="S12" s="118">
        <f t="shared" si="5"/>
        <v>830.8</v>
      </c>
      <c r="T12" s="53">
        <f t="shared" si="6"/>
        <v>587.4</v>
      </c>
      <c r="U12" s="119">
        <f t="shared" si="7"/>
        <v>472.9</v>
      </c>
      <c r="V12" s="5"/>
      <c r="W12" s="123">
        <f t="shared" si="11"/>
        <v>13.75</v>
      </c>
      <c r="X12" s="89">
        <f t="shared" si="12"/>
        <v>20.625</v>
      </c>
      <c r="Y12" s="124">
        <f t="shared" si="13"/>
        <v>30</v>
      </c>
    </row>
    <row r="13" spans="2:25" ht="14.25">
      <c r="B13" s="87">
        <v>7</v>
      </c>
      <c r="C13" s="14">
        <v>4400</v>
      </c>
      <c r="D13" s="58" t="str">
        <f t="shared" si="0"/>
        <v>アイデアル</v>
      </c>
      <c r="E13" s="15">
        <f t="shared" si="1"/>
        <v>7.836</v>
      </c>
      <c r="F13" s="59">
        <v>11</v>
      </c>
      <c r="G13" s="10">
        <v>0.5654050925925925</v>
      </c>
      <c r="H13" s="14">
        <f t="shared" si="2"/>
        <v>14650.999999999996</v>
      </c>
      <c r="I13" s="144">
        <f t="shared" si="3"/>
        <v>585.9</v>
      </c>
      <c r="J13" s="15"/>
      <c r="K13" s="27">
        <f t="shared" si="4"/>
        <v>2054.149999999996</v>
      </c>
      <c r="L13" s="10">
        <f t="shared" si="14"/>
        <v>0.007156828703703624</v>
      </c>
      <c r="M13" s="60">
        <f t="shared" si="8"/>
        <v>28.76046511627875</v>
      </c>
      <c r="N13" s="61">
        <f t="shared" si="9"/>
        <v>5.282915841922054</v>
      </c>
      <c r="O13" s="90">
        <f t="shared" si="10"/>
        <v>18.8</v>
      </c>
      <c r="P13" s="141"/>
      <c r="Q13" s="62"/>
      <c r="R13" s="5"/>
      <c r="S13" s="118">
        <f t="shared" si="5"/>
        <v>828.9</v>
      </c>
      <c r="T13" s="53">
        <f t="shared" si="6"/>
        <v>585.9</v>
      </c>
      <c r="U13" s="119">
        <f t="shared" si="7"/>
        <v>471.7</v>
      </c>
      <c r="V13" s="5"/>
      <c r="W13" s="123">
        <f t="shared" si="11"/>
        <v>12.5</v>
      </c>
      <c r="X13" s="89">
        <f t="shared" si="12"/>
        <v>18.75</v>
      </c>
      <c r="Y13" s="124">
        <f t="shared" si="13"/>
        <v>28</v>
      </c>
    </row>
    <row r="14" spans="2:25" ht="14.25">
      <c r="B14" s="87">
        <v>8</v>
      </c>
      <c r="C14" s="14">
        <v>380</v>
      </c>
      <c r="D14" s="58" t="str">
        <f t="shared" si="0"/>
        <v>テティス</v>
      </c>
      <c r="E14" s="15">
        <f t="shared" si="1"/>
        <v>10.197</v>
      </c>
      <c r="F14" s="59">
        <v>3</v>
      </c>
      <c r="G14" s="10">
        <v>0.5528240740740741</v>
      </c>
      <c r="H14" s="14">
        <f t="shared" si="2"/>
        <v>13564.000000000002</v>
      </c>
      <c r="I14" s="144">
        <f t="shared" si="3"/>
        <v>527.3</v>
      </c>
      <c r="J14" s="15"/>
      <c r="K14" s="27">
        <f t="shared" si="4"/>
        <v>2227.050000000003</v>
      </c>
      <c r="L14" s="10">
        <f t="shared" si="14"/>
        <v>0.009157986111111112</v>
      </c>
      <c r="M14" s="60">
        <f t="shared" si="8"/>
        <v>36.80232558139535</v>
      </c>
      <c r="N14" s="61">
        <f t="shared" si="9"/>
        <v>5.706281332940135</v>
      </c>
      <c r="O14" s="90">
        <f t="shared" si="10"/>
        <v>16.9</v>
      </c>
      <c r="P14" s="141"/>
      <c r="Q14" s="62"/>
      <c r="R14" s="5"/>
      <c r="S14" s="118">
        <f t="shared" si="5"/>
        <v>748</v>
      </c>
      <c r="T14" s="53">
        <f t="shared" si="6"/>
        <v>527.3</v>
      </c>
      <c r="U14" s="119">
        <f t="shared" si="7"/>
        <v>422.3</v>
      </c>
      <c r="V14" s="5"/>
      <c r="W14" s="123">
        <f t="shared" si="11"/>
        <v>11.25</v>
      </c>
      <c r="X14" s="89">
        <f t="shared" si="12"/>
        <v>16.875</v>
      </c>
      <c r="Y14" s="124">
        <f t="shared" si="13"/>
        <v>26</v>
      </c>
    </row>
    <row r="15" spans="2:25" ht="14.25">
      <c r="B15" s="87">
        <v>9</v>
      </c>
      <c r="C15" s="14">
        <v>1733</v>
      </c>
      <c r="D15" s="58" t="str">
        <f t="shared" si="0"/>
        <v>ケロニア</v>
      </c>
      <c r="E15" s="15">
        <f t="shared" si="1"/>
        <v>9.515</v>
      </c>
      <c r="F15" s="59">
        <v>5</v>
      </c>
      <c r="G15" s="10">
        <v>0.5566898148148148</v>
      </c>
      <c r="H15" s="14">
        <f t="shared" si="2"/>
        <v>13898.000000000004</v>
      </c>
      <c r="I15" s="144">
        <f t="shared" si="3"/>
        <v>542.1</v>
      </c>
      <c r="J15" s="15"/>
      <c r="K15" s="27">
        <f t="shared" si="4"/>
        <v>2242.850000000004</v>
      </c>
      <c r="L15" s="10">
        <f t="shared" si="14"/>
        <v>0.009340856481481493</v>
      </c>
      <c r="M15" s="60">
        <f t="shared" si="8"/>
        <v>37.537209302325635</v>
      </c>
      <c r="N15" s="61">
        <f t="shared" si="9"/>
        <v>5.569146639804287</v>
      </c>
      <c r="O15" s="90">
        <f t="shared" si="10"/>
        <v>15</v>
      </c>
      <c r="P15" s="141"/>
      <c r="Q15" s="62"/>
      <c r="R15" s="5"/>
      <c r="S15" s="118">
        <f t="shared" si="5"/>
        <v>768.4</v>
      </c>
      <c r="T15" s="53">
        <f t="shared" si="6"/>
        <v>542.1</v>
      </c>
      <c r="U15" s="119">
        <f t="shared" si="7"/>
        <v>434.8</v>
      </c>
      <c r="V15" s="5"/>
      <c r="W15" s="123">
        <f t="shared" si="11"/>
        <v>10</v>
      </c>
      <c r="X15" s="89">
        <f t="shared" si="12"/>
        <v>15</v>
      </c>
      <c r="Y15" s="124">
        <f t="shared" si="13"/>
        <v>24</v>
      </c>
    </row>
    <row r="16" spans="2:25" ht="14.25">
      <c r="B16" s="88">
        <v>10</v>
      </c>
      <c r="C16" s="16">
        <v>4323</v>
      </c>
      <c r="D16" s="63" t="str">
        <f t="shared" si="0"/>
        <v>飛天</v>
      </c>
      <c r="E16" s="17">
        <f t="shared" si="1"/>
        <v>7.084</v>
      </c>
      <c r="F16" s="64">
        <v>14</v>
      </c>
      <c r="G16" s="12">
        <v>0.5742592592592592</v>
      </c>
      <c r="H16" s="16">
        <f t="shared" si="2"/>
        <v>15416</v>
      </c>
      <c r="I16" s="96">
        <f t="shared" si="3"/>
        <v>610.1</v>
      </c>
      <c r="J16" s="17"/>
      <c r="K16" s="28">
        <f t="shared" si="4"/>
        <v>2298.8500000000004</v>
      </c>
      <c r="L16" s="12">
        <f t="shared" si="14"/>
        <v>0.0099890046296296</v>
      </c>
      <c r="M16" s="65">
        <f t="shared" si="8"/>
        <v>40.14186046511616</v>
      </c>
      <c r="N16" s="66">
        <f t="shared" si="9"/>
        <v>5.020757654385055</v>
      </c>
      <c r="O16" s="91">
        <f t="shared" si="10"/>
        <v>13.1</v>
      </c>
      <c r="P16" s="142"/>
      <c r="Q16" s="67"/>
      <c r="R16" s="5"/>
      <c r="S16" s="118">
        <f t="shared" si="5"/>
        <v>862.1</v>
      </c>
      <c r="T16" s="53">
        <f t="shared" si="6"/>
        <v>610.1</v>
      </c>
      <c r="U16" s="119">
        <f t="shared" si="7"/>
        <v>492.2</v>
      </c>
      <c r="V16" s="5"/>
      <c r="W16" s="123">
        <f t="shared" si="11"/>
        <v>8.75</v>
      </c>
      <c r="X16" s="89">
        <f t="shared" si="12"/>
        <v>13.125</v>
      </c>
      <c r="Y16" s="124">
        <f t="shared" si="13"/>
        <v>22</v>
      </c>
    </row>
    <row r="17" spans="2:25" ht="14.25">
      <c r="B17" s="86">
        <v>11</v>
      </c>
      <c r="C17" s="49">
        <v>131</v>
      </c>
      <c r="D17" s="145" t="str">
        <f t="shared" si="0"/>
        <v>ふるたか</v>
      </c>
      <c r="E17" s="146">
        <f t="shared" si="1"/>
        <v>8.317</v>
      </c>
      <c r="F17" s="52">
        <v>10</v>
      </c>
      <c r="G17" s="8">
        <v>0.5652893518518519</v>
      </c>
      <c r="H17" s="18">
        <f t="shared" si="2"/>
        <v>14641.000000000007</v>
      </c>
      <c r="I17" s="160">
        <f t="shared" si="3"/>
        <v>572.1</v>
      </c>
      <c r="J17" s="146"/>
      <c r="K17" s="147">
        <f t="shared" si="4"/>
        <v>2340.8500000000076</v>
      </c>
      <c r="L17" s="13">
        <f t="shared" si="14"/>
        <v>0.010475115740740795</v>
      </c>
      <c r="M17" s="100">
        <f t="shared" si="8"/>
        <v>42.09534883720952</v>
      </c>
      <c r="N17" s="101">
        <f t="shared" si="9"/>
        <v>5.286524144525645</v>
      </c>
      <c r="O17" s="148">
        <f t="shared" si="10"/>
        <v>11.3</v>
      </c>
      <c r="P17" s="140"/>
      <c r="Q17" s="57"/>
      <c r="R17" s="5"/>
      <c r="S17" s="118">
        <f t="shared" si="5"/>
        <v>809.8</v>
      </c>
      <c r="T17" s="53">
        <f t="shared" si="6"/>
        <v>572.1</v>
      </c>
      <c r="U17" s="119">
        <f t="shared" si="7"/>
        <v>460.1</v>
      </c>
      <c r="V17" s="5"/>
      <c r="W17" s="123">
        <f t="shared" si="11"/>
        <v>7.5</v>
      </c>
      <c r="X17" s="89">
        <f t="shared" si="12"/>
        <v>11.25</v>
      </c>
      <c r="Y17" s="124">
        <f t="shared" si="13"/>
        <v>20</v>
      </c>
    </row>
    <row r="18" spans="2:25" ht="14.25">
      <c r="B18" s="87">
        <v>12</v>
      </c>
      <c r="C18" s="14">
        <v>199</v>
      </c>
      <c r="D18" s="58" t="str">
        <f t="shared" si="0"/>
        <v>サ－モン4</v>
      </c>
      <c r="E18" s="15">
        <f t="shared" si="1"/>
        <v>9.03</v>
      </c>
      <c r="F18" s="59">
        <v>7</v>
      </c>
      <c r="G18" s="13">
        <v>0.5616087962962962</v>
      </c>
      <c r="H18" s="14">
        <f t="shared" si="2"/>
        <v>14322.999999999996</v>
      </c>
      <c r="I18" s="144">
        <f t="shared" si="3"/>
        <v>553.6</v>
      </c>
      <c r="J18" s="15"/>
      <c r="K18" s="27">
        <f t="shared" si="4"/>
        <v>2420.5999999999967</v>
      </c>
      <c r="L18" s="10">
        <f t="shared" si="14"/>
        <v>0.011398148148148076</v>
      </c>
      <c r="M18" s="60">
        <f t="shared" si="8"/>
        <v>45.80465116279041</v>
      </c>
      <c r="N18" s="61">
        <f t="shared" si="9"/>
        <v>5.403895831878798</v>
      </c>
      <c r="O18" s="90">
        <f t="shared" si="10"/>
        <v>9.4</v>
      </c>
      <c r="P18" s="141"/>
      <c r="Q18" s="62"/>
      <c r="R18" s="5"/>
      <c r="S18" s="118">
        <f t="shared" si="5"/>
        <v>784.3</v>
      </c>
      <c r="T18" s="53">
        <f t="shared" si="6"/>
        <v>553.6</v>
      </c>
      <c r="U18" s="119">
        <f t="shared" si="7"/>
        <v>444.5</v>
      </c>
      <c r="V18" s="5"/>
      <c r="W18" s="123">
        <f t="shared" si="11"/>
        <v>6.25</v>
      </c>
      <c r="X18" s="89">
        <f t="shared" si="12"/>
        <v>9.375</v>
      </c>
      <c r="Y18" s="124">
        <f t="shared" si="13"/>
        <v>18</v>
      </c>
    </row>
    <row r="19" spans="2:25" ht="14.25">
      <c r="B19" s="87">
        <v>13</v>
      </c>
      <c r="C19" s="14">
        <v>2212</v>
      </c>
      <c r="D19" s="58" t="str">
        <f t="shared" si="0"/>
        <v>衣笠</v>
      </c>
      <c r="E19" s="15">
        <f t="shared" si="1"/>
        <v>8.952</v>
      </c>
      <c r="F19" s="59">
        <v>8</v>
      </c>
      <c r="G19" s="10">
        <v>0.562511574074074</v>
      </c>
      <c r="H19" s="14">
        <f t="shared" si="2"/>
        <v>14400.999999999998</v>
      </c>
      <c r="I19" s="144">
        <f t="shared" si="3"/>
        <v>555.5</v>
      </c>
      <c r="J19" s="15"/>
      <c r="K19" s="27">
        <f t="shared" si="4"/>
        <v>2457.749999999998</v>
      </c>
      <c r="L19" s="10">
        <f t="shared" si="14"/>
        <v>0.011828124999999945</v>
      </c>
      <c r="M19" s="60">
        <f t="shared" si="8"/>
        <v>47.532558139534665</v>
      </c>
      <c r="N19" s="61">
        <f t="shared" si="9"/>
        <v>5.374626762030416</v>
      </c>
      <c r="O19" s="90">
        <f t="shared" si="10"/>
        <v>7.5</v>
      </c>
      <c r="P19" s="141"/>
      <c r="Q19" s="62"/>
      <c r="R19" s="5"/>
      <c r="S19" s="118">
        <f t="shared" si="5"/>
        <v>786.9</v>
      </c>
      <c r="T19" s="53">
        <f t="shared" si="6"/>
        <v>555.5</v>
      </c>
      <c r="U19" s="119">
        <f t="shared" si="7"/>
        <v>446.1</v>
      </c>
      <c r="V19" s="5"/>
      <c r="W19" s="123">
        <f t="shared" si="11"/>
        <v>5</v>
      </c>
      <c r="X19" s="89">
        <f t="shared" si="12"/>
        <v>7.5</v>
      </c>
      <c r="Y19" s="124">
        <f t="shared" si="13"/>
        <v>16</v>
      </c>
    </row>
    <row r="20" spans="2:25" ht="14.25">
      <c r="B20" s="87">
        <v>14</v>
      </c>
      <c r="C20" s="14">
        <v>346</v>
      </c>
      <c r="D20" s="58" t="str">
        <f t="shared" si="0"/>
        <v>飛車角</v>
      </c>
      <c r="E20" s="15">
        <f t="shared" si="1"/>
        <v>8.495</v>
      </c>
      <c r="F20" s="59">
        <v>13</v>
      </c>
      <c r="G20" s="10">
        <v>0.5667592592592593</v>
      </c>
      <c r="H20" s="14">
        <f t="shared" si="2"/>
        <v>14768.000000000005</v>
      </c>
      <c r="I20" s="144">
        <f t="shared" si="3"/>
        <v>567.3</v>
      </c>
      <c r="J20" s="15"/>
      <c r="K20" s="27">
        <f t="shared" si="4"/>
        <v>2571.0500000000065</v>
      </c>
      <c r="L20" s="10">
        <f t="shared" si="14"/>
        <v>0.013139467592592635</v>
      </c>
      <c r="M20" s="60">
        <f t="shared" si="8"/>
        <v>52.802325581395515</v>
      </c>
      <c r="N20" s="61">
        <f t="shared" si="9"/>
        <v>5.2410617551462595</v>
      </c>
      <c r="O20" s="90">
        <f t="shared" si="10"/>
        <v>5.6</v>
      </c>
      <c r="P20" s="141"/>
      <c r="Q20" s="62"/>
      <c r="R20" s="5"/>
      <c r="S20" s="118">
        <f t="shared" si="5"/>
        <v>803.2</v>
      </c>
      <c r="T20" s="53">
        <f t="shared" si="6"/>
        <v>567.3</v>
      </c>
      <c r="U20" s="119">
        <f t="shared" si="7"/>
        <v>456</v>
      </c>
      <c r="V20" s="5"/>
      <c r="W20" s="123">
        <f t="shared" si="11"/>
        <v>3.75</v>
      </c>
      <c r="X20" s="89">
        <f t="shared" si="12"/>
        <v>5.625</v>
      </c>
      <c r="Y20" s="124">
        <f t="shared" si="13"/>
        <v>14</v>
      </c>
    </row>
    <row r="21" spans="2:25" ht="14.25">
      <c r="B21" s="87">
        <v>15</v>
      </c>
      <c r="C21" s="16">
        <v>2759</v>
      </c>
      <c r="D21" s="63" t="str">
        <f t="shared" si="0"/>
        <v>イクソラⅢ</v>
      </c>
      <c r="E21" s="17">
        <f t="shared" si="1"/>
        <v>6.679</v>
      </c>
      <c r="F21" s="64">
        <v>16</v>
      </c>
      <c r="G21" s="12">
        <v>0.5853587962962963</v>
      </c>
      <c r="H21" s="16">
        <f t="shared" si="2"/>
        <v>16375</v>
      </c>
      <c r="I21" s="96">
        <f t="shared" si="3"/>
        <v>624.6</v>
      </c>
      <c r="J21" s="17"/>
      <c r="K21" s="28">
        <f t="shared" si="4"/>
        <v>2946.1000000000004</v>
      </c>
      <c r="L21" s="12">
        <f t="shared" si="14"/>
        <v>0.017480324074074044</v>
      </c>
      <c r="M21" s="65">
        <f t="shared" si="8"/>
        <v>70.24651162790686</v>
      </c>
      <c r="N21" s="66">
        <f t="shared" si="9"/>
        <v>4.7267175572519085</v>
      </c>
      <c r="O21" s="91">
        <f>IF($O$6="MAX=20",W21,IF($O$6="MAX=30",X21,IF($O$6="MAX=40",Y21,"")))</f>
        <v>3.75</v>
      </c>
      <c r="P21" s="142"/>
      <c r="Q21" s="67"/>
      <c r="R21" s="5"/>
      <c r="S21" s="118">
        <f t="shared" si="5"/>
        <v>882.1</v>
      </c>
      <c r="T21" s="53">
        <f t="shared" si="6"/>
        <v>624.6</v>
      </c>
      <c r="U21" s="119">
        <f t="shared" si="7"/>
        <v>504.5</v>
      </c>
      <c r="V21" s="5"/>
      <c r="W21" s="123">
        <f t="shared" si="11"/>
        <v>2.5</v>
      </c>
      <c r="X21" s="89">
        <f t="shared" si="12"/>
        <v>3.75</v>
      </c>
      <c r="Y21" s="124">
        <f t="shared" si="13"/>
        <v>12</v>
      </c>
    </row>
    <row r="22" spans="2:25" ht="14.25">
      <c r="B22" s="87">
        <v>16</v>
      </c>
      <c r="C22" s="18">
        <v>1545</v>
      </c>
      <c r="D22" s="145" t="str">
        <f t="shared" si="0"/>
        <v>ﾌﾘｰﾄﾞﾘｽⅦ</v>
      </c>
      <c r="E22" s="146">
        <f t="shared" si="1"/>
        <v>8.59</v>
      </c>
      <c r="F22" s="99">
        <v>15</v>
      </c>
      <c r="G22" s="13">
        <v>0.5750925925925926</v>
      </c>
      <c r="H22" s="378">
        <f>_xlfn.IFERROR(IF(G22-$Q$2&lt;=0,"",(G22-$Q$2)*86400),"")</f>
        <v>15488.000000000002</v>
      </c>
      <c r="I22" s="379">
        <f>IF($I$6="Ⅰ",S22,IF($I$6="Ⅱ",T22,IF($I$6="Ⅲ",U22,"")))</f>
        <v>564.8</v>
      </c>
      <c r="J22" s="146"/>
      <c r="K22" s="380">
        <f>_xlfn.IFERROR(H22*(1+0.01*J22)-I22*$N$3,"")</f>
        <v>3344.800000000003</v>
      </c>
      <c r="L22" s="381">
        <f>_xlfn.IFERROR((K22-$K$7)/86400,"")</f>
        <v>0.022094907407407407</v>
      </c>
      <c r="M22" s="382">
        <f>_xlfn.IFERROR((K22-$K$7)/$N$3,"")</f>
        <v>88.79069767441861</v>
      </c>
      <c r="N22" s="383">
        <f>_xlfn.IFERROR($N$3/(H22/3600),"")</f>
        <v>4.9974173553719</v>
      </c>
      <c r="O22" s="384">
        <f>IF($O$6="MAX=20",W22,IF($O$6="MAX=30",X22,IF($O$6="MAX=40",Y22,"")))</f>
        <v>1.875</v>
      </c>
      <c r="P22" s="143"/>
      <c r="Q22" s="102"/>
      <c r="R22" s="5"/>
      <c r="S22" s="118">
        <f t="shared" si="5"/>
        <v>799.7</v>
      </c>
      <c r="T22" s="53">
        <f t="shared" si="6"/>
        <v>564.8</v>
      </c>
      <c r="U22" s="119">
        <f t="shared" si="7"/>
        <v>453.9</v>
      </c>
      <c r="V22" s="5"/>
      <c r="W22" s="123">
        <f t="shared" si="11"/>
        <v>1.25</v>
      </c>
      <c r="X22" s="89">
        <f t="shared" si="12"/>
        <v>1.875</v>
      </c>
      <c r="Y22" s="124">
        <f t="shared" si="13"/>
        <v>10</v>
      </c>
    </row>
    <row r="23" spans="2:25" ht="14.25">
      <c r="B23" s="87"/>
      <c r="C23" s="14"/>
      <c r="D23" s="58">
        <f aca="true" t="shared" si="15" ref="D23:D31">IF(ISBLANK(C23),"",VLOOKUP(C23,各艇データ,2,FALSE))</f>
      </c>
      <c r="E23" s="15">
        <f aca="true" t="shared" si="16" ref="E23:E31">IF(ISBLANK(C23),"",VLOOKUP(C23,各艇データ,3,FALSE))</f>
      </c>
      <c r="F23" s="59"/>
      <c r="G23" s="10"/>
      <c r="H23" s="14">
        <f aca="true" t="shared" si="17" ref="H23:H31">_xlfn.IFERROR(IF(G23-$Q$2&lt;=0,"",(G23-$Q$2)*86400),"")</f>
      </c>
      <c r="I23" s="144">
        <f aca="true" t="shared" si="18" ref="I23:I31">IF($I$6="Ⅰ",S23,IF($I$6="Ⅱ",T23,IF($I$6="Ⅲ",U23,"")))</f>
      </c>
      <c r="J23" s="15"/>
      <c r="K23" s="27">
        <f aca="true" t="shared" si="19" ref="K23:K31">_xlfn.IFERROR(H23*(1+0.01*J23)-I23*$N$3,"")</f>
      </c>
      <c r="L23" s="10">
        <f t="shared" si="14"/>
      </c>
      <c r="M23" s="60">
        <f t="shared" si="8"/>
      </c>
      <c r="N23" s="61">
        <f t="shared" si="9"/>
      </c>
      <c r="O23" s="90">
        <f aca="true" t="shared" si="20" ref="O23:O31">IF($O$6="MAX=20",W23,IF($O$6="MAX=30",X23,IF($O$6="MAX=40",Y23,"")))</f>
      </c>
      <c r="P23" s="141"/>
      <c r="Q23" s="62"/>
      <c r="R23" s="5"/>
      <c r="S23" s="118">
        <f t="shared" si="5"/>
      </c>
      <c r="T23" s="53">
        <f t="shared" si="6"/>
      </c>
      <c r="U23" s="119">
        <f t="shared" si="7"/>
      </c>
      <c r="V23" s="5"/>
      <c r="W23" s="123">
        <f t="shared" si="11"/>
      </c>
      <c r="X23" s="89">
        <f t="shared" si="12"/>
      </c>
      <c r="Y23" s="124">
        <f t="shared" si="13"/>
      </c>
    </row>
    <row r="24" spans="2:25" ht="14.25">
      <c r="B24" s="87"/>
      <c r="C24" s="14">
        <v>162</v>
      </c>
      <c r="D24" s="58" t="str">
        <f t="shared" si="15"/>
        <v>ﾌｪﾆｯｸｽ</v>
      </c>
      <c r="E24" s="15">
        <f t="shared" si="16"/>
        <v>6.838</v>
      </c>
      <c r="F24" s="59"/>
      <c r="G24" s="10"/>
      <c r="H24" s="14">
        <f t="shared" si="17"/>
      </c>
      <c r="I24" s="144"/>
      <c r="J24" s="15"/>
      <c r="K24" s="27">
        <f t="shared" si="19"/>
      </c>
      <c r="L24" s="10">
        <f t="shared" si="14"/>
      </c>
      <c r="M24" s="60">
        <f t="shared" si="8"/>
      </c>
      <c r="N24" s="61">
        <f t="shared" si="9"/>
      </c>
      <c r="O24" s="90">
        <v>1</v>
      </c>
      <c r="P24" s="141" t="s">
        <v>358</v>
      </c>
      <c r="Q24" s="62"/>
      <c r="R24" s="5"/>
      <c r="S24" s="118">
        <f t="shared" si="5"/>
        <v>874.1</v>
      </c>
      <c r="T24" s="53">
        <f t="shared" si="6"/>
        <v>618.7</v>
      </c>
      <c r="U24" s="119">
        <f t="shared" si="7"/>
        <v>499.5</v>
      </c>
      <c r="V24" s="5"/>
      <c r="W24" s="123">
        <f t="shared" si="11"/>
      </c>
      <c r="X24" s="89">
        <f t="shared" si="12"/>
      </c>
      <c r="Y24" s="124">
        <f t="shared" si="13"/>
      </c>
    </row>
    <row r="25" spans="2:25" ht="14.25">
      <c r="B25" s="87"/>
      <c r="C25" s="14"/>
      <c r="D25" s="58">
        <f t="shared" si="15"/>
      </c>
      <c r="E25" s="15">
        <f t="shared" si="16"/>
      </c>
      <c r="F25" s="59"/>
      <c r="G25" s="10"/>
      <c r="H25" s="14">
        <f t="shared" si="17"/>
      </c>
      <c r="I25" s="144">
        <f t="shared" si="18"/>
      </c>
      <c r="J25" s="15"/>
      <c r="K25" s="27">
        <f t="shared" si="19"/>
      </c>
      <c r="L25" s="10">
        <f t="shared" si="14"/>
      </c>
      <c r="M25" s="60">
        <f t="shared" si="8"/>
      </c>
      <c r="N25" s="61">
        <f t="shared" si="9"/>
      </c>
      <c r="O25" s="90">
        <f t="shared" si="20"/>
      </c>
      <c r="P25" s="141"/>
      <c r="Q25" s="62"/>
      <c r="R25" s="5"/>
      <c r="S25" s="118">
        <f t="shared" si="5"/>
      </c>
      <c r="T25" s="53">
        <f t="shared" si="6"/>
      </c>
      <c r="U25" s="119">
        <f t="shared" si="7"/>
      </c>
      <c r="V25" s="5"/>
      <c r="W25" s="123">
        <f t="shared" si="11"/>
      </c>
      <c r="X25" s="89">
        <f t="shared" si="12"/>
      </c>
      <c r="Y25" s="124">
        <f t="shared" si="13"/>
      </c>
    </row>
    <row r="26" spans="2:25" ht="14.25">
      <c r="B26" s="88"/>
      <c r="C26" s="16"/>
      <c r="D26" s="63">
        <f t="shared" si="15"/>
      </c>
      <c r="E26" s="17">
        <f t="shared" si="16"/>
      </c>
      <c r="F26" s="64"/>
      <c r="G26" s="12"/>
      <c r="H26" s="16">
        <f t="shared" si="17"/>
      </c>
      <c r="I26" s="96">
        <f t="shared" si="18"/>
      </c>
      <c r="J26" s="17"/>
      <c r="K26" s="28">
        <f t="shared" si="19"/>
      </c>
      <c r="L26" s="12">
        <f t="shared" si="14"/>
      </c>
      <c r="M26" s="65">
        <f t="shared" si="8"/>
      </c>
      <c r="N26" s="66">
        <f t="shared" si="9"/>
      </c>
      <c r="O26" s="91">
        <f t="shared" si="20"/>
      </c>
      <c r="P26" s="142"/>
      <c r="Q26" s="67"/>
      <c r="R26" s="5"/>
      <c r="S26" s="118">
        <f t="shared" si="5"/>
      </c>
      <c r="T26" s="53">
        <f t="shared" si="6"/>
      </c>
      <c r="U26" s="119">
        <f t="shared" si="7"/>
      </c>
      <c r="V26" s="5"/>
      <c r="W26" s="123">
        <f t="shared" si="11"/>
      </c>
      <c r="X26" s="89">
        <f t="shared" si="12"/>
      </c>
      <c r="Y26" s="124">
        <f t="shared" si="13"/>
      </c>
    </row>
    <row r="27" spans="2:25" ht="14.25">
      <c r="B27" s="98"/>
      <c r="C27" s="18"/>
      <c r="D27" s="145">
        <f t="shared" si="15"/>
      </c>
      <c r="E27" s="146">
        <f t="shared" si="16"/>
      </c>
      <c r="F27" s="99"/>
      <c r="G27" s="13"/>
      <c r="H27" s="18">
        <f t="shared" si="17"/>
      </c>
      <c r="I27" s="160">
        <f t="shared" si="18"/>
      </c>
      <c r="J27" s="146"/>
      <c r="K27" s="147">
        <f t="shared" si="19"/>
      </c>
      <c r="L27" s="13">
        <f t="shared" si="14"/>
      </c>
      <c r="M27" s="100">
        <f t="shared" si="8"/>
      </c>
      <c r="N27" s="101">
        <f t="shared" si="9"/>
      </c>
      <c r="O27" s="148">
        <f t="shared" si="20"/>
      </c>
      <c r="P27" s="143"/>
      <c r="Q27" s="102"/>
      <c r="R27" s="5"/>
      <c r="S27" s="118">
        <f t="shared" si="5"/>
      </c>
      <c r="T27" s="53">
        <f t="shared" si="6"/>
      </c>
      <c r="U27" s="119">
        <f t="shared" si="7"/>
      </c>
      <c r="V27" s="5"/>
      <c r="W27" s="123">
        <f t="shared" si="11"/>
      </c>
      <c r="X27" s="89">
        <f t="shared" si="12"/>
      </c>
      <c r="Y27" s="124">
        <f t="shared" si="13"/>
      </c>
    </row>
    <row r="28" spans="2:25" ht="14.25">
      <c r="B28" s="87"/>
      <c r="C28" s="14"/>
      <c r="D28" s="58">
        <f t="shared" si="15"/>
      </c>
      <c r="E28" s="15">
        <f t="shared" si="16"/>
      </c>
      <c r="F28" s="59"/>
      <c r="G28" s="10"/>
      <c r="H28" s="14">
        <f t="shared" si="17"/>
      </c>
      <c r="I28" s="144">
        <f t="shared" si="18"/>
      </c>
      <c r="J28" s="15"/>
      <c r="K28" s="27">
        <f t="shared" si="19"/>
      </c>
      <c r="L28" s="10">
        <f t="shared" si="14"/>
      </c>
      <c r="M28" s="60">
        <f t="shared" si="8"/>
      </c>
      <c r="N28" s="61">
        <f t="shared" si="9"/>
      </c>
      <c r="O28" s="90">
        <f t="shared" si="20"/>
      </c>
      <c r="P28" s="141"/>
      <c r="Q28" s="62"/>
      <c r="R28" s="5"/>
      <c r="S28" s="118">
        <f t="shared" si="5"/>
      </c>
      <c r="T28" s="53">
        <f t="shared" si="6"/>
      </c>
      <c r="U28" s="119">
        <f t="shared" si="7"/>
      </c>
      <c r="V28" s="5"/>
      <c r="W28" s="123">
        <f t="shared" si="11"/>
      </c>
      <c r="X28" s="89">
        <f t="shared" si="12"/>
      </c>
      <c r="Y28" s="124">
        <f t="shared" si="13"/>
      </c>
    </row>
    <row r="29" spans="2:25" ht="14.25">
      <c r="B29" s="87"/>
      <c r="C29" s="14"/>
      <c r="D29" s="58">
        <f t="shared" si="15"/>
      </c>
      <c r="E29" s="15">
        <f t="shared" si="16"/>
      </c>
      <c r="F29" s="59"/>
      <c r="G29" s="10"/>
      <c r="H29" s="14">
        <f t="shared" si="17"/>
      </c>
      <c r="I29" s="144">
        <f t="shared" si="18"/>
      </c>
      <c r="J29" s="15"/>
      <c r="K29" s="27">
        <f t="shared" si="19"/>
      </c>
      <c r="L29" s="10">
        <f t="shared" si="14"/>
      </c>
      <c r="M29" s="60">
        <f t="shared" si="8"/>
      </c>
      <c r="N29" s="61">
        <f t="shared" si="9"/>
      </c>
      <c r="O29" s="90">
        <f t="shared" si="20"/>
      </c>
      <c r="P29" s="141"/>
      <c r="Q29" s="62"/>
      <c r="R29" s="5"/>
      <c r="S29" s="118">
        <f t="shared" si="5"/>
      </c>
      <c r="T29" s="53">
        <f>IF(ISBLANK(C29),"",VLOOKUP(C29,各艇データ,5,FALSE))</f>
      </c>
      <c r="U29" s="119">
        <f t="shared" si="7"/>
      </c>
      <c r="V29" s="5"/>
      <c r="W29" s="123">
        <f t="shared" si="11"/>
      </c>
      <c r="X29" s="89">
        <f t="shared" si="12"/>
      </c>
      <c r="Y29" s="124">
        <f t="shared" si="13"/>
      </c>
    </row>
    <row r="30" spans="2:25" ht="14.25">
      <c r="B30" s="87"/>
      <c r="C30" s="14"/>
      <c r="D30" s="58">
        <f t="shared" si="15"/>
      </c>
      <c r="E30" s="15">
        <f t="shared" si="16"/>
      </c>
      <c r="F30" s="59"/>
      <c r="G30" s="10"/>
      <c r="H30" s="14">
        <f t="shared" si="17"/>
      </c>
      <c r="I30" s="144">
        <f t="shared" si="18"/>
      </c>
      <c r="J30" s="15"/>
      <c r="K30" s="27">
        <f t="shared" si="19"/>
      </c>
      <c r="L30" s="10">
        <f t="shared" si="14"/>
      </c>
      <c r="M30" s="60">
        <f t="shared" si="8"/>
      </c>
      <c r="N30" s="61">
        <f t="shared" si="9"/>
      </c>
      <c r="O30" s="90">
        <f t="shared" si="20"/>
      </c>
      <c r="P30" s="141"/>
      <c r="Q30" s="62"/>
      <c r="R30" s="5"/>
      <c r="S30" s="118">
        <f t="shared" si="5"/>
      </c>
      <c r="T30" s="53">
        <f t="shared" si="6"/>
      </c>
      <c r="U30" s="119">
        <f t="shared" si="7"/>
      </c>
      <c r="V30" s="5"/>
      <c r="W30" s="123">
        <f t="shared" si="11"/>
      </c>
      <c r="X30" s="89">
        <f t="shared" si="12"/>
      </c>
      <c r="Y30" s="124">
        <f t="shared" si="13"/>
      </c>
    </row>
    <row r="31" spans="2:25" ht="15" thickBot="1">
      <c r="B31" s="87"/>
      <c r="C31" s="14"/>
      <c r="D31" s="63">
        <f t="shared" si="15"/>
      </c>
      <c r="E31" s="17">
        <f t="shared" si="16"/>
      </c>
      <c r="F31" s="59"/>
      <c r="G31" s="10"/>
      <c r="H31" s="16">
        <f t="shared" si="17"/>
      </c>
      <c r="I31" s="96">
        <f t="shared" si="18"/>
      </c>
      <c r="J31" s="17"/>
      <c r="K31" s="28">
        <f t="shared" si="19"/>
      </c>
      <c r="L31" s="12">
        <f t="shared" si="14"/>
      </c>
      <c r="M31" s="65">
        <f t="shared" si="8"/>
      </c>
      <c r="N31" s="66">
        <f t="shared" si="9"/>
      </c>
      <c r="O31" s="91">
        <f t="shared" si="20"/>
      </c>
      <c r="P31" s="141"/>
      <c r="Q31" s="62"/>
      <c r="R31" s="5"/>
      <c r="S31" s="120">
        <f t="shared" si="5"/>
      </c>
      <c r="T31" s="121">
        <f t="shared" si="6"/>
      </c>
      <c r="U31" s="122">
        <f t="shared" si="7"/>
      </c>
      <c r="V31" s="5"/>
      <c r="W31" s="125">
        <f t="shared" si="11"/>
      </c>
      <c r="X31" s="126">
        <f t="shared" si="12"/>
      </c>
      <c r="Y31" s="68">
        <f t="shared" si="13"/>
      </c>
    </row>
    <row r="32" spans="2:22" ht="15" customHeight="1">
      <c r="B32" s="401" t="s">
        <v>78</v>
      </c>
      <c r="C32" s="402"/>
      <c r="D32" s="403"/>
      <c r="E32" s="367" t="s">
        <v>306</v>
      </c>
      <c r="F32" s="460" t="s">
        <v>359</v>
      </c>
      <c r="G32" s="461"/>
      <c r="H32" s="443" t="s">
        <v>370</v>
      </c>
      <c r="I32" s="452"/>
      <c r="J32" s="452"/>
      <c r="K32" s="452"/>
      <c r="L32" s="452"/>
      <c r="M32" s="452"/>
      <c r="N32" s="452"/>
      <c r="O32" s="452"/>
      <c r="P32" s="452"/>
      <c r="Q32" s="453"/>
      <c r="R32" s="1"/>
      <c r="T32" s="29"/>
      <c r="U32" s="1"/>
      <c r="V32" s="1"/>
    </row>
    <row r="33" spans="2:22" ht="15">
      <c r="B33" s="404"/>
      <c r="C33" s="405"/>
      <c r="D33" s="406"/>
      <c r="E33" s="368" t="s">
        <v>307</v>
      </c>
      <c r="F33" s="435" t="s">
        <v>360</v>
      </c>
      <c r="G33" s="436"/>
      <c r="H33" s="454"/>
      <c r="I33" s="455"/>
      <c r="J33" s="455"/>
      <c r="K33" s="455"/>
      <c r="L33" s="455"/>
      <c r="M33" s="455"/>
      <c r="N33" s="455"/>
      <c r="O33" s="455"/>
      <c r="P33" s="455"/>
      <c r="Q33" s="456"/>
      <c r="R33" s="1"/>
      <c r="U33" s="1"/>
      <c r="V33" s="1"/>
    </row>
    <row r="34" spans="2:22" ht="23.25" customHeight="1">
      <c r="B34" s="407"/>
      <c r="C34" s="408"/>
      <c r="D34" s="409"/>
      <c r="E34" s="368" t="s">
        <v>308</v>
      </c>
      <c r="F34" s="435" t="s">
        <v>361</v>
      </c>
      <c r="G34" s="436"/>
      <c r="H34" s="454"/>
      <c r="I34" s="455"/>
      <c r="J34" s="455"/>
      <c r="K34" s="455"/>
      <c r="L34" s="455"/>
      <c r="M34" s="455"/>
      <c r="N34" s="455"/>
      <c r="O34" s="455"/>
      <c r="P34" s="455"/>
      <c r="Q34" s="456"/>
      <c r="R34" s="1"/>
      <c r="U34" s="1"/>
      <c r="V34" s="1"/>
    </row>
    <row r="35" spans="2:22" ht="22.5" customHeight="1">
      <c r="B35" s="419" t="s">
        <v>79</v>
      </c>
      <c r="C35" s="420"/>
      <c r="D35" s="421"/>
      <c r="E35" s="429" t="s">
        <v>311</v>
      </c>
      <c r="F35" s="395" t="str">
        <f>'参照ﾃﾞｰﾀ'!AI6</f>
        <v>フェニックス</v>
      </c>
      <c r="G35" s="396"/>
      <c r="H35" s="454"/>
      <c r="I35" s="455"/>
      <c r="J35" s="455"/>
      <c r="K35" s="455"/>
      <c r="L35" s="455"/>
      <c r="M35" s="455"/>
      <c r="N35" s="455"/>
      <c r="O35" s="455"/>
      <c r="P35" s="455"/>
      <c r="Q35" s="456"/>
      <c r="R35" s="1"/>
      <c r="U35" s="1"/>
      <c r="V35" s="1"/>
    </row>
    <row r="36" spans="2:22" ht="15" customHeight="1">
      <c r="B36" s="422"/>
      <c r="C36" s="423"/>
      <c r="D36" s="424"/>
      <c r="E36" s="430"/>
      <c r="F36" s="431"/>
      <c r="G36" s="432"/>
      <c r="H36" s="454"/>
      <c r="I36" s="455"/>
      <c r="J36" s="455"/>
      <c r="K36" s="455"/>
      <c r="L36" s="455"/>
      <c r="M36" s="455"/>
      <c r="N36" s="455"/>
      <c r="O36" s="455"/>
      <c r="P36" s="455"/>
      <c r="Q36" s="456"/>
      <c r="R36" s="1"/>
      <c r="U36" s="1"/>
      <c r="V36" s="1"/>
    </row>
    <row r="37" spans="2:22" ht="15" customHeight="1">
      <c r="B37" s="422"/>
      <c r="C37" s="423"/>
      <c r="D37" s="424"/>
      <c r="E37" s="367" t="s">
        <v>309</v>
      </c>
      <c r="F37" s="397">
        <f>'参照ﾃﾞｰﾀ'!R7</f>
        <v>42477</v>
      </c>
      <c r="G37" s="398"/>
      <c r="H37" s="454"/>
      <c r="I37" s="455"/>
      <c r="J37" s="455"/>
      <c r="K37" s="455"/>
      <c r="L37" s="455"/>
      <c r="M37" s="455"/>
      <c r="N37" s="455"/>
      <c r="O37" s="455"/>
      <c r="P37" s="455"/>
      <c r="Q37" s="456"/>
      <c r="R37" s="1"/>
      <c r="U37" s="1"/>
      <c r="V37" s="1"/>
    </row>
    <row r="38" spans="2:22" ht="15">
      <c r="B38" s="422"/>
      <c r="C38" s="423"/>
      <c r="D38" s="424"/>
      <c r="E38" s="368" t="s">
        <v>325</v>
      </c>
      <c r="F38" s="395" t="str">
        <f>'参照ﾃﾞｰﾀ'!AH7</f>
        <v>E</v>
      </c>
      <c r="G38" s="396"/>
      <c r="H38" s="454"/>
      <c r="I38" s="455"/>
      <c r="J38" s="455"/>
      <c r="K38" s="455"/>
      <c r="L38" s="455"/>
      <c r="M38" s="455"/>
      <c r="N38" s="455"/>
      <c r="O38" s="455"/>
      <c r="P38" s="455"/>
      <c r="Q38" s="456"/>
      <c r="R38" s="1"/>
      <c r="U38" s="1"/>
      <c r="V38" s="1"/>
    </row>
    <row r="39" spans="2:22" ht="15">
      <c r="B39" s="422"/>
      <c r="C39" s="423"/>
      <c r="D39" s="424"/>
      <c r="E39" s="368" t="s">
        <v>310</v>
      </c>
      <c r="F39" s="395" t="str">
        <f>'参照ﾃﾞｰﾀ'!AI7</f>
        <v>未央</v>
      </c>
      <c r="G39" s="396"/>
      <c r="H39" s="454"/>
      <c r="I39" s="455"/>
      <c r="J39" s="455"/>
      <c r="K39" s="455"/>
      <c r="L39" s="455"/>
      <c r="M39" s="455"/>
      <c r="N39" s="455"/>
      <c r="O39" s="455"/>
      <c r="P39" s="455"/>
      <c r="Q39" s="456"/>
      <c r="R39" s="1"/>
      <c r="U39" s="1"/>
      <c r="V39" s="1"/>
    </row>
    <row r="40" spans="2:22" ht="15">
      <c r="B40" s="422"/>
      <c r="C40" s="423"/>
      <c r="D40" s="424"/>
      <c r="E40" s="368"/>
      <c r="F40" s="395"/>
      <c r="G40" s="396"/>
      <c r="H40" s="454"/>
      <c r="I40" s="455"/>
      <c r="J40" s="455"/>
      <c r="K40" s="455"/>
      <c r="L40" s="455"/>
      <c r="M40" s="455"/>
      <c r="N40" s="455"/>
      <c r="O40" s="455"/>
      <c r="P40" s="455"/>
      <c r="Q40" s="456"/>
      <c r="R40" s="1"/>
      <c r="U40" s="1"/>
      <c r="V40" s="1"/>
    </row>
    <row r="41" spans="2:22" ht="11.25" customHeight="1" thickBot="1">
      <c r="B41" s="425"/>
      <c r="C41" s="426"/>
      <c r="D41" s="427"/>
      <c r="E41" s="369"/>
      <c r="F41" s="433"/>
      <c r="G41" s="434"/>
      <c r="H41" s="457"/>
      <c r="I41" s="458"/>
      <c r="J41" s="458"/>
      <c r="K41" s="458"/>
      <c r="L41" s="458"/>
      <c r="M41" s="458"/>
      <c r="N41" s="458"/>
      <c r="O41" s="458"/>
      <c r="P41" s="458"/>
      <c r="Q41" s="459"/>
      <c r="R41" s="1"/>
      <c r="S41" s="1"/>
      <c r="T41" s="1"/>
      <c r="U41" s="1"/>
      <c r="V41" s="1"/>
    </row>
  </sheetData>
  <sheetProtection password="EDAE" sheet="1"/>
  <mergeCells count="18">
    <mergeCell ref="J3:K3"/>
    <mergeCell ref="P5:Q5"/>
    <mergeCell ref="B32:D34"/>
    <mergeCell ref="H32:Q41"/>
    <mergeCell ref="B35:D41"/>
    <mergeCell ref="F32:G32"/>
    <mergeCell ref="E35:E36"/>
    <mergeCell ref="F35:G35"/>
    <mergeCell ref="F36:G36"/>
    <mergeCell ref="F37:G37"/>
    <mergeCell ref="D2:F2"/>
    <mergeCell ref="E3:I3"/>
    <mergeCell ref="F38:G38"/>
    <mergeCell ref="F39:G39"/>
    <mergeCell ref="F40:G40"/>
    <mergeCell ref="F41:G41"/>
    <mergeCell ref="F33:G33"/>
    <mergeCell ref="F34:G34"/>
  </mergeCells>
  <dataValidations count="8">
    <dataValidation type="list" allowBlank="1" showInputMessage="1" showErrorMessage="1" sqref="P2">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rintOptions/>
  <pageMargins left="0.31496062992125984" right="0" top="0.3543307086614173" bottom="0.1968503937007874" header="0" footer="0"/>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B2:Y41"/>
  <sheetViews>
    <sheetView zoomScale="85" zoomScaleNormal="85" zoomScalePageLayoutView="0" workbookViewId="0" topLeftCell="A1">
      <selection activeCell="H32" sqref="H32:Q41"/>
    </sheetView>
  </sheetViews>
  <sheetFormatPr defaultColWidth="9.140625" defaultRowHeight="15"/>
  <cols>
    <col min="1" max="1" width="1.7109375" style="0" customWidth="1"/>
    <col min="2" max="2" width="5.00390625" style="0" customWidth="1"/>
    <col min="3" max="3" width="7.00390625" style="0" customWidth="1"/>
    <col min="4" max="4" width="18.00390625" style="0" customWidth="1"/>
    <col min="5" max="5" width="9.140625" style="0" customWidth="1"/>
    <col min="6" max="6" width="5.00390625" style="0" customWidth="1"/>
    <col min="7" max="7" width="10.8515625" style="0" customWidth="1"/>
    <col min="8" max="8" width="8.421875" style="0" customWidth="1"/>
    <col min="9" max="9" width="7.57421875" style="0" customWidth="1"/>
    <col min="10" max="10" width="5.00390625" style="0" customWidth="1"/>
    <col min="11" max="11" width="8.421875" style="0" customWidth="1"/>
    <col min="12" max="12" width="10.8515625" style="0" customWidth="1"/>
    <col min="13" max="13" width="9.28125" style="0" customWidth="1"/>
    <col min="14" max="14" width="7.8515625" style="0" customWidth="1"/>
    <col min="15" max="15" width="8.00390625" style="0" customWidth="1"/>
    <col min="16" max="16" width="11.28125" style="0" customWidth="1"/>
    <col min="17" max="17" width="12.28125" style="0" customWidth="1"/>
    <col min="18" max="18" width="4.8515625" style="0" customWidth="1"/>
    <col min="19" max="19" width="7.7109375" style="0" customWidth="1"/>
    <col min="20" max="21" width="7.57421875" style="0" customWidth="1"/>
    <col min="22" max="22" width="4.421875" style="0" customWidth="1"/>
    <col min="23" max="25" width="8.00390625" style="0" customWidth="1"/>
  </cols>
  <sheetData>
    <row r="1" ht="9.75" customHeight="1" thickBot="1"/>
    <row r="2" spans="2:22" ht="21">
      <c r="B2" s="1"/>
      <c r="C2" s="2"/>
      <c r="D2" s="392" t="str">
        <f>'参照ﾃﾞｰﾀ'!N4</f>
        <v>2016年</v>
      </c>
      <c r="E2" s="392"/>
      <c r="F2" s="392"/>
      <c r="G2" s="95" t="s">
        <v>314</v>
      </c>
      <c r="H2" s="38"/>
      <c r="I2" s="3"/>
      <c r="J2" s="1"/>
      <c r="K2" s="26"/>
      <c r="L2" s="1"/>
      <c r="M2" s="78" t="s">
        <v>65</v>
      </c>
      <c r="N2" s="79" t="s">
        <v>93</v>
      </c>
      <c r="O2" s="80" t="s">
        <v>68</v>
      </c>
      <c r="P2" s="132">
        <v>42477</v>
      </c>
      <c r="Q2" s="114">
        <v>0.4375</v>
      </c>
      <c r="R2" s="1"/>
      <c r="S2" s="1"/>
      <c r="T2" s="1"/>
      <c r="U2" s="1"/>
      <c r="V2" s="1"/>
    </row>
    <row r="3" spans="2:23" ht="21.75" customHeight="1" thickBot="1">
      <c r="B3" s="1"/>
      <c r="D3" s="162" t="s">
        <v>215</v>
      </c>
      <c r="E3" s="393" t="s">
        <v>82</v>
      </c>
      <c r="F3" s="393"/>
      <c r="G3" s="393"/>
      <c r="H3" s="393"/>
      <c r="I3" s="393"/>
      <c r="J3" s="394" t="s">
        <v>105</v>
      </c>
      <c r="K3" s="394"/>
      <c r="L3" s="4"/>
      <c r="M3" s="137" t="s">
        <v>94</v>
      </c>
      <c r="N3" s="139">
        <f>IF(ISBLANK(N2),"",VLOOKUP(N2,コース・距離,2,FALSE))</f>
        <v>11.3</v>
      </c>
      <c r="O3" s="81" t="s">
        <v>0</v>
      </c>
      <c r="P3" s="82">
        <v>16</v>
      </c>
      <c r="Q3" s="83" t="s">
        <v>1</v>
      </c>
      <c r="R3" s="1"/>
      <c r="S3" s="112" t="s">
        <v>2</v>
      </c>
      <c r="T3" s="69"/>
      <c r="U3" s="69"/>
      <c r="V3" s="1"/>
      <c r="W3" s="127" t="s">
        <v>95</v>
      </c>
    </row>
    <row r="4" spans="2:22" ht="7.5" customHeight="1" thickBot="1">
      <c r="B4" s="1"/>
      <c r="C4" s="1"/>
      <c r="D4" s="1"/>
      <c r="E4" s="1"/>
      <c r="F4" s="1"/>
      <c r="G4" s="1"/>
      <c r="H4" s="1"/>
      <c r="I4" s="1"/>
      <c r="J4" s="1"/>
      <c r="K4" s="1"/>
      <c r="L4" s="1"/>
      <c r="M4" s="1"/>
      <c r="N4" s="1"/>
      <c r="O4" s="1"/>
      <c r="P4" s="1"/>
      <c r="Q4" s="1"/>
      <c r="R4" s="1"/>
      <c r="S4" s="70"/>
      <c r="T4" s="69"/>
      <c r="U4" s="69"/>
      <c r="V4" s="1"/>
    </row>
    <row r="5" spans="2:25" ht="14.25">
      <c r="B5" s="97" t="s">
        <v>3</v>
      </c>
      <c r="C5" s="76" t="s">
        <v>4</v>
      </c>
      <c r="D5" s="76" t="s">
        <v>5</v>
      </c>
      <c r="E5" s="76" t="s">
        <v>6</v>
      </c>
      <c r="F5" s="76" t="s">
        <v>7</v>
      </c>
      <c r="G5" s="76" t="s">
        <v>8</v>
      </c>
      <c r="H5" s="76" t="s">
        <v>9</v>
      </c>
      <c r="I5" s="76" t="s">
        <v>10</v>
      </c>
      <c r="J5" s="76" t="s">
        <v>11</v>
      </c>
      <c r="K5" s="76" t="s">
        <v>12</v>
      </c>
      <c r="L5" s="77" t="s">
        <v>72</v>
      </c>
      <c r="M5" s="77" t="s">
        <v>73</v>
      </c>
      <c r="N5" s="76" t="s">
        <v>90</v>
      </c>
      <c r="O5" s="76" t="s">
        <v>13</v>
      </c>
      <c r="P5" s="399" t="s">
        <v>89</v>
      </c>
      <c r="Q5" s="400"/>
      <c r="R5" s="5"/>
      <c r="S5" s="75" t="s">
        <v>10</v>
      </c>
      <c r="T5" s="76" t="s">
        <v>10</v>
      </c>
      <c r="U5" s="115" t="s">
        <v>10</v>
      </c>
      <c r="V5" s="5"/>
      <c r="W5" s="75" t="s">
        <v>13</v>
      </c>
      <c r="X5" s="76" t="s">
        <v>13</v>
      </c>
      <c r="Y5" s="115" t="s">
        <v>13</v>
      </c>
    </row>
    <row r="6" spans="2:25" ht="14.25">
      <c r="B6" s="43"/>
      <c r="C6" s="44" t="s">
        <v>14</v>
      </c>
      <c r="D6" s="45"/>
      <c r="E6" s="46" t="s">
        <v>15</v>
      </c>
      <c r="F6" s="46"/>
      <c r="G6" s="44" t="s">
        <v>16</v>
      </c>
      <c r="H6" s="46" t="s">
        <v>17</v>
      </c>
      <c r="I6" s="44" t="s">
        <v>199</v>
      </c>
      <c r="J6" s="46" t="s">
        <v>18</v>
      </c>
      <c r="K6" s="46" t="s">
        <v>17</v>
      </c>
      <c r="L6" s="44" t="s">
        <v>16</v>
      </c>
      <c r="M6" s="46" t="s">
        <v>58</v>
      </c>
      <c r="N6" s="46" t="s">
        <v>19</v>
      </c>
      <c r="O6" s="71" t="str">
        <f>IF(ISBLANK($N$2),"",VLOOKUP($N$2,コース・距離,3,FALSE))</f>
        <v>MAX=20</v>
      </c>
      <c r="P6" s="47">
        <f>IF($N$2="初島","初島MAG0°","")</f>
      </c>
      <c r="Q6" s="48"/>
      <c r="R6" s="6"/>
      <c r="S6" s="116" t="s">
        <v>20</v>
      </c>
      <c r="T6" s="71" t="s">
        <v>22</v>
      </c>
      <c r="U6" s="117" t="s">
        <v>21</v>
      </c>
      <c r="V6" s="6"/>
      <c r="W6" s="116" t="s">
        <v>97</v>
      </c>
      <c r="X6" s="71" t="s">
        <v>98</v>
      </c>
      <c r="Y6" s="117" t="s">
        <v>99</v>
      </c>
    </row>
    <row r="7" spans="2:25" ht="14.25">
      <c r="B7" s="86"/>
      <c r="C7" s="49"/>
      <c r="D7" s="50">
        <f aca="true" t="shared" si="0" ref="D7:D31">IF(ISBLANK(C7),"",VLOOKUP(C7,各艇データ,2,FALSE))</f>
      </c>
      <c r="E7" s="51">
        <f aca="true" t="shared" si="1" ref="E7:E31">IF(ISBLANK(C7),"",VLOOKUP(C7,各艇データ,3,FALSE))</f>
      </c>
      <c r="F7" s="52"/>
      <c r="G7" s="8"/>
      <c r="H7" s="49">
        <f aca="true" t="shared" si="2" ref="H7:H31">_xlfn.IFERROR(IF(G7-$Q$2&lt;=0,"",(G7-$Q$2)*86400),"")</f>
      </c>
      <c r="I7" s="93">
        <f aca="true" t="shared" si="3" ref="I7:I23">IF($I$6="Ⅰ",S7,IF($I$6="Ⅱ",T7,IF($I$6="Ⅲ",U7,"")))</f>
      </c>
      <c r="J7" s="51"/>
      <c r="K7" s="54">
        <f aca="true" t="shared" si="4" ref="K7:K31">_xlfn.IFERROR(H7*(1+0.01*J7)-I7*$N$3,"")</f>
      </c>
      <c r="L7" s="8">
        <f>_xlfn.IFERROR((K7-$K$7)/86400,"")</f>
      </c>
      <c r="M7" s="55">
        <f>_xlfn.IFERROR((K7-$K$7)/$N$3,"")</f>
      </c>
      <c r="N7" s="56">
        <f>_xlfn.IFERROR($N$3/(H7/3600),"")</f>
      </c>
      <c r="O7" s="89" t="e">
        <f>ROUND(IF($O$6="MAX=20",W7,IF($O$6="MAX=30",X7,IF($O$6="MAX=40",Y7,""))),1)</f>
        <v>#VALUE!</v>
      </c>
      <c r="P7" s="140"/>
      <c r="Q7" s="57"/>
      <c r="R7" s="5"/>
      <c r="S7" s="118">
        <f aca="true" t="shared" si="5" ref="S7:S31">IF(ISBLANK(C7),"",VLOOKUP(C7,各艇データ,4,FALSE))</f>
      </c>
      <c r="T7" s="53">
        <f aca="true" t="shared" si="6" ref="T7:T31">IF(ISBLANK(C7),"",VLOOKUP(C7,各艇データ,5,FALSE))</f>
      </c>
      <c r="U7" s="119">
        <f aca="true" t="shared" si="7" ref="U7:U31">IF(ISBLANK(C7),"",VLOOKUP(C7,各艇データ,6,FALSE))</f>
      </c>
      <c r="V7" s="5"/>
      <c r="W7" s="123">
        <f>IF(ISBLANK(B7),"",_xlfn.IFERROR(20*($P$3+1-$B7)/$P$3,"20.0"))</f>
      </c>
      <c r="X7" s="89">
        <f>IF(ISBLANK(B7),"",_xlfn.IFERROR(30*($P$3+1-$B7)/$P$3,"30.0"))</f>
      </c>
      <c r="Y7" s="124">
        <f>IF(ISBLANK(B7),"",_xlfn.IFERROR(30*($P$3-$B7)/($P$3-1)+10,"20.0"))</f>
      </c>
    </row>
    <row r="8" spans="2:25" ht="14.25">
      <c r="B8" s="87"/>
      <c r="C8" s="14"/>
      <c r="D8" s="58">
        <f t="shared" si="0"/>
      </c>
      <c r="E8" s="15">
        <f t="shared" si="1"/>
      </c>
      <c r="F8" s="59"/>
      <c r="G8" s="10"/>
      <c r="H8" s="14">
        <f t="shared" si="2"/>
      </c>
      <c r="I8" s="144">
        <f t="shared" si="3"/>
      </c>
      <c r="J8" s="313"/>
      <c r="K8" s="27">
        <f t="shared" si="4"/>
      </c>
      <c r="L8" s="10">
        <f>_xlfn.IFERROR((K8-$K$7)/86400,"")</f>
      </c>
      <c r="M8" s="60">
        <f aca="true" t="shared" si="8" ref="M8:M31">_xlfn.IFERROR((K8-$K$7)/$N$3,"")</f>
      </c>
      <c r="N8" s="61">
        <f aca="true" t="shared" si="9" ref="N8:N31">_xlfn.IFERROR($N$3/(H8/3600),"")</f>
      </c>
      <c r="O8" s="90" t="e">
        <f aca="true" t="shared" si="10" ref="O8:O21">ROUND(IF($O$6="MAX=20",W8,IF($O$6="MAX=30",X8,IF($O$6="MAX=40",Y8,""))),1)</f>
        <v>#VALUE!</v>
      </c>
      <c r="P8" s="141"/>
      <c r="Q8" s="62"/>
      <c r="R8" s="5"/>
      <c r="S8" s="118">
        <f t="shared" si="5"/>
      </c>
      <c r="T8" s="53">
        <f t="shared" si="6"/>
      </c>
      <c r="U8" s="119">
        <f t="shared" si="7"/>
      </c>
      <c r="V8" s="5"/>
      <c r="W8" s="123">
        <f aca="true" t="shared" si="11" ref="W8:W31">IF(ISBLANK(B8),"",_xlfn.IFERROR(20*($P$3+1-$B8)/$P$3,"20.0"))</f>
      </c>
      <c r="X8" s="89">
        <f aca="true" t="shared" si="12" ref="X8:X31">IF(ISBLANK(B8),"",_xlfn.IFERROR(30*($P$3+1-$B8)/$P$3,"30.0"))</f>
      </c>
      <c r="Y8" s="124">
        <f aca="true" t="shared" si="13" ref="Y8:Y31">IF(ISBLANK(B8),"",_xlfn.IFERROR(30*($P$3-$B8)/($P$3-1)+10,"20.0"))</f>
      </c>
    </row>
    <row r="9" spans="2:25" ht="14.25">
      <c r="B9" s="87"/>
      <c r="C9" s="85"/>
      <c r="D9" s="58">
        <f t="shared" si="0"/>
      </c>
      <c r="E9" s="15">
        <f t="shared" si="1"/>
      </c>
      <c r="F9" s="59"/>
      <c r="G9" s="10"/>
      <c r="H9" s="14">
        <f t="shared" si="2"/>
      </c>
      <c r="I9" s="144">
        <f t="shared" si="3"/>
      </c>
      <c r="J9" s="15"/>
      <c r="K9" s="27">
        <f t="shared" si="4"/>
      </c>
      <c r="L9" s="10">
        <f aca="true" t="shared" si="14" ref="L9:L31">_xlfn.IFERROR((K9-$K$7)/86400,"")</f>
      </c>
      <c r="M9" s="60">
        <f t="shared" si="8"/>
      </c>
      <c r="N9" s="61">
        <f t="shared" si="9"/>
      </c>
      <c r="O9" s="90" t="e">
        <f t="shared" si="10"/>
        <v>#VALUE!</v>
      </c>
      <c r="P9" s="141"/>
      <c r="Q9" s="62"/>
      <c r="R9" s="5"/>
      <c r="S9" s="118">
        <f t="shared" si="5"/>
      </c>
      <c r="T9" s="53">
        <f t="shared" si="6"/>
      </c>
      <c r="U9" s="119">
        <f t="shared" si="7"/>
      </c>
      <c r="V9" s="5"/>
      <c r="W9" s="123">
        <f t="shared" si="11"/>
      </c>
      <c r="X9" s="89">
        <f t="shared" si="12"/>
      </c>
      <c r="Y9" s="124">
        <f t="shared" si="13"/>
      </c>
    </row>
    <row r="10" spans="2:25" ht="14.25">
      <c r="B10" s="87"/>
      <c r="C10" s="14"/>
      <c r="D10" s="58">
        <f t="shared" si="0"/>
      </c>
      <c r="E10" s="15">
        <f t="shared" si="1"/>
      </c>
      <c r="F10" s="59"/>
      <c r="G10" s="10"/>
      <c r="H10" s="14">
        <f t="shared" si="2"/>
      </c>
      <c r="I10" s="144">
        <f t="shared" si="3"/>
      </c>
      <c r="J10" s="15"/>
      <c r="K10" s="27">
        <f t="shared" si="4"/>
      </c>
      <c r="L10" s="10">
        <f t="shared" si="14"/>
      </c>
      <c r="M10" s="60">
        <f t="shared" si="8"/>
      </c>
      <c r="N10" s="61">
        <f t="shared" si="9"/>
      </c>
      <c r="O10" s="90" t="e">
        <f t="shared" si="10"/>
        <v>#VALUE!</v>
      </c>
      <c r="P10" s="141"/>
      <c r="Q10" s="62"/>
      <c r="R10" s="5"/>
      <c r="S10" s="118">
        <f t="shared" si="5"/>
      </c>
      <c r="T10" s="53">
        <f t="shared" si="6"/>
      </c>
      <c r="U10" s="119">
        <f t="shared" si="7"/>
      </c>
      <c r="V10" s="5"/>
      <c r="W10" s="123">
        <f t="shared" si="11"/>
      </c>
      <c r="X10" s="89">
        <f t="shared" si="12"/>
      </c>
      <c r="Y10" s="124">
        <f t="shared" si="13"/>
      </c>
    </row>
    <row r="11" spans="2:25" ht="14.25">
      <c r="B11" s="88"/>
      <c r="C11" s="16"/>
      <c r="D11" s="63">
        <f t="shared" si="0"/>
      </c>
      <c r="E11" s="17">
        <f t="shared" si="1"/>
      </c>
      <c r="F11" s="64"/>
      <c r="G11" s="12"/>
      <c r="H11" s="152">
        <f t="shared" si="2"/>
      </c>
      <c r="I11" s="159">
        <f t="shared" si="3"/>
      </c>
      <c r="J11" s="153"/>
      <c r="K11" s="154">
        <f t="shared" si="4"/>
      </c>
      <c r="L11" s="155">
        <f t="shared" si="14"/>
      </c>
      <c r="M11" s="156">
        <f t="shared" si="8"/>
      </c>
      <c r="N11" s="157">
        <f t="shared" si="9"/>
      </c>
      <c r="O11" s="158" t="e">
        <f t="shared" si="10"/>
        <v>#VALUE!</v>
      </c>
      <c r="P11" s="142"/>
      <c r="Q11" s="67"/>
      <c r="R11" s="5"/>
      <c r="S11" s="118">
        <f t="shared" si="5"/>
      </c>
      <c r="T11" s="53">
        <f t="shared" si="6"/>
      </c>
      <c r="U11" s="119">
        <f t="shared" si="7"/>
      </c>
      <c r="V11" s="5"/>
      <c r="W11" s="123">
        <f t="shared" si="11"/>
      </c>
      <c r="X11" s="89">
        <f t="shared" si="12"/>
      </c>
      <c r="Y11" s="124">
        <f t="shared" si="13"/>
      </c>
    </row>
    <row r="12" spans="2:25" ht="14.25">
      <c r="B12" s="86"/>
      <c r="C12" s="49"/>
      <c r="D12" s="50">
        <f t="shared" si="0"/>
      </c>
      <c r="E12" s="51">
        <f t="shared" si="1"/>
      </c>
      <c r="F12" s="52"/>
      <c r="G12" s="8"/>
      <c r="H12" s="49">
        <f t="shared" si="2"/>
      </c>
      <c r="I12" s="93">
        <f t="shared" si="3"/>
      </c>
      <c r="J12" s="51"/>
      <c r="K12" s="54">
        <f t="shared" si="4"/>
      </c>
      <c r="L12" s="8">
        <f t="shared" si="14"/>
      </c>
      <c r="M12" s="55">
        <f t="shared" si="8"/>
      </c>
      <c r="N12" s="56">
        <f t="shared" si="9"/>
      </c>
      <c r="O12" s="89" t="e">
        <f t="shared" si="10"/>
        <v>#VALUE!</v>
      </c>
      <c r="P12" s="140"/>
      <c r="Q12" s="57"/>
      <c r="R12" s="5"/>
      <c r="S12" s="118">
        <f t="shared" si="5"/>
      </c>
      <c r="T12" s="53">
        <f t="shared" si="6"/>
      </c>
      <c r="U12" s="119">
        <f t="shared" si="7"/>
      </c>
      <c r="V12" s="5"/>
      <c r="W12" s="123">
        <f t="shared" si="11"/>
      </c>
      <c r="X12" s="89">
        <f t="shared" si="12"/>
      </c>
      <c r="Y12" s="124">
        <f t="shared" si="13"/>
      </c>
    </row>
    <row r="13" spans="2:25" ht="14.25">
      <c r="B13" s="87"/>
      <c r="C13" s="14"/>
      <c r="D13" s="58">
        <f t="shared" si="0"/>
      </c>
      <c r="E13" s="15">
        <f t="shared" si="1"/>
      </c>
      <c r="F13" s="59"/>
      <c r="G13" s="10"/>
      <c r="H13" s="14">
        <f t="shared" si="2"/>
      </c>
      <c r="I13" s="144">
        <f t="shared" si="3"/>
      </c>
      <c r="J13" s="15"/>
      <c r="K13" s="27">
        <f t="shared" si="4"/>
      </c>
      <c r="L13" s="10">
        <f t="shared" si="14"/>
      </c>
      <c r="M13" s="60">
        <f t="shared" si="8"/>
      </c>
      <c r="N13" s="61">
        <f t="shared" si="9"/>
      </c>
      <c r="O13" s="90" t="e">
        <f t="shared" si="10"/>
        <v>#VALUE!</v>
      </c>
      <c r="P13" s="141"/>
      <c r="Q13" s="62"/>
      <c r="R13" s="5"/>
      <c r="S13" s="118">
        <f t="shared" si="5"/>
      </c>
      <c r="T13" s="53">
        <f t="shared" si="6"/>
      </c>
      <c r="U13" s="119">
        <f t="shared" si="7"/>
      </c>
      <c r="V13" s="5"/>
      <c r="W13" s="123">
        <f t="shared" si="11"/>
      </c>
      <c r="X13" s="89">
        <f t="shared" si="12"/>
      </c>
      <c r="Y13" s="124">
        <f t="shared" si="13"/>
      </c>
    </row>
    <row r="14" spans="2:25" ht="14.25">
      <c r="B14" s="87"/>
      <c r="C14" s="14"/>
      <c r="D14" s="58">
        <f t="shared" si="0"/>
      </c>
      <c r="E14" s="15">
        <f t="shared" si="1"/>
      </c>
      <c r="F14" s="59"/>
      <c r="G14" s="10"/>
      <c r="H14" s="14">
        <f t="shared" si="2"/>
      </c>
      <c r="I14" s="144">
        <f t="shared" si="3"/>
      </c>
      <c r="J14" s="15"/>
      <c r="K14" s="27">
        <f t="shared" si="4"/>
      </c>
      <c r="L14" s="10">
        <f t="shared" si="14"/>
      </c>
      <c r="M14" s="60">
        <f t="shared" si="8"/>
      </c>
      <c r="N14" s="61">
        <f t="shared" si="9"/>
      </c>
      <c r="O14" s="90" t="e">
        <f t="shared" si="10"/>
        <v>#VALUE!</v>
      </c>
      <c r="P14" s="141"/>
      <c r="Q14" s="62"/>
      <c r="R14" s="5"/>
      <c r="S14" s="118">
        <f t="shared" si="5"/>
      </c>
      <c r="T14" s="53">
        <f t="shared" si="6"/>
      </c>
      <c r="U14" s="119">
        <f t="shared" si="7"/>
      </c>
      <c r="V14" s="5"/>
      <c r="W14" s="123">
        <f t="shared" si="11"/>
      </c>
      <c r="X14" s="89">
        <f t="shared" si="12"/>
      </c>
      <c r="Y14" s="124">
        <f t="shared" si="13"/>
      </c>
    </row>
    <row r="15" spans="2:25" ht="14.25">
      <c r="B15" s="87"/>
      <c r="C15" s="14"/>
      <c r="D15" s="58">
        <f t="shared" si="0"/>
      </c>
      <c r="E15" s="15">
        <f t="shared" si="1"/>
      </c>
      <c r="F15" s="59"/>
      <c r="G15" s="10"/>
      <c r="H15" s="14">
        <f t="shared" si="2"/>
      </c>
      <c r="I15" s="144">
        <f t="shared" si="3"/>
      </c>
      <c r="J15" s="15"/>
      <c r="K15" s="27">
        <f t="shared" si="4"/>
      </c>
      <c r="L15" s="10">
        <f t="shared" si="14"/>
      </c>
      <c r="M15" s="60">
        <f t="shared" si="8"/>
      </c>
      <c r="N15" s="61">
        <f t="shared" si="9"/>
      </c>
      <c r="O15" s="90" t="e">
        <f t="shared" si="10"/>
        <v>#VALUE!</v>
      </c>
      <c r="P15" s="141"/>
      <c r="Q15" s="62"/>
      <c r="R15" s="5"/>
      <c r="S15" s="118">
        <f t="shared" si="5"/>
      </c>
      <c r="T15" s="53">
        <f t="shared" si="6"/>
      </c>
      <c r="U15" s="119">
        <f t="shared" si="7"/>
      </c>
      <c r="V15" s="5"/>
      <c r="W15" s="123">
        <f t="shared" si="11"/>
      </c>
      <c r="X15" s="89">
        <f t="shared" si="12"/>
      </c>
      <c r="Y15" s="124">
        <f t="shared" si="13"/>
      </c>
    </row>
    <row r="16" spans="2:25" ht="14.25">
      <c r="B16" s="88"/>
      <c r="C16" s="16"/>
      <c r="D16" s="63">
        <f t="shared" si="0"/>
      </c>
      <c r="E16" s="17">
        <f t="shared" si="1"/>
      </c>
      <c r="F16" s="64"/>
      <c r="G16" s="12"/>
      <c r="H16" s="16">
        <f t="shared" si="2"/>
      </c>
      <c r="I16" s="96">
        <f t="shared" si="3"/>
      </c>
      <c r="J16" s="17"/>
      <c r="K16" s="28">
        <f t="shared" si="4"/>
      </c>
      <c r="L16" s="12">
        <f t="shared" si="14"/>
      </c>
      <c r="M16" s="65">
        <f t="shared" si="8"/>
      </c>
      <c r="N16" s="66">
        <f t="shared" si="9"/>
      </c>
      <c r="O16" s="91" t="e">
        <f t="shared" si="10"/>
        <v>#VALUE!</v>
      </c>
      <c r="P16" s="142"/>
      <c r="Q16" s="67"/>
      <c r="R16" s="5"/>
      <c r="S16" s="118">
        <f t="shared" si="5"/>
      </c>
      <c r="T16" s="53">
        <f t="shared" si="6"/>
      </c>
      <c r="U16" s="119">
        <f t="shared" si="7"/>
      </c>
      <c r="V16" s="5"/>
      <c r="W16" s="123">
        <f t="shared" si="11"/>
      </c>
      <c r="X16" s="89">
        <f t="shared" si="12"/>
      </c>
      <c r="Y16" s="124">
        <f t="shared" si="13"/>
      </c>
    </row>
    <row r="17" spans="2:25" ht="14.25">
      <c r="B17" s="86"/>
      <c r="C17" s="49"/>
      <c r="D17" s="50">
        <f t="shared" si="0"/>
      </c>
      <c r="E17" s="51">
        <f t="shared" si="1"/>
      </c>
      <c r="F17" s="52"/>
      <c r="G17" s="8"/>
      <c r="H17" s="18">
        <f t="shared" si="2"/>
      </c>
      <c r="I17" s="160">
        <f t="shared" si="3"/>
      </c>
      <c r="J17" s="146"/>
      <c r="K17" s="147">
        <f t="shared" si="4"/>
      </c>
      <c r="L17" s="13">
        <f t="shared" si="14"/>
      </c>
      <c r="M17" s="100">
        <f t="shared" si="8"/>
      </c>
      <c r="N17" s="101">
        <f t="shared" si="9"/>
      </c>
      <c r="O17" s="91" t="e">
        <f t="shared" si="10"/>
        <v>#VALUE!</v>
      </c>
      <c r="P17" s="140"/>
      <c r="Q17" s="57"/>
      <c r="R17" s="5"/>
      <c r="S17" s="118">
        <f t="shared" si="5"/>
      </c>
      <c r="T17" s="53">
        <f t="shared" si="6"/>
      </c>
      <c r="U17" s="119">
        <f t="shared" si="7"/>
      </c>
      <c r="V17" s="5"/>
      <c r="W17" s="123">
        <f t="shared" si="11"/>
      </c>
      <c r="X17" s="89">
        <f t="shared" si="12"/>
      </c>
      <c r="Y17" s="124">
        <f t="shared" si="13"/>
      </c>
    </row>
    <row r="18" spans="2:25" ht="14.25">
      <c r="B18" s="87"/>
      <c r="C18" s="14"/>
      <c r="D18" s="58">
        <f t="shared" si="0"/>
      </c>
      <c r="E18" s="15">
        <f t="shared" si="1"/>
      </c>
      <c r="F18" s="59"/>
      <c r="G18" s="10"/>
      <c r="H18" s="14">
        <f t="shared" si="2"/>
      </c>
      <c r="I18" s="144">
        <f t="shared" si="3"/>
      </c>
      <c r="J18" s="15"/>
      <c r="K18" s="27">
        <f t="shared" si="4"/>
      </c>
      <c r="L18" s="10">
        <f t="shared" si="14"/>
      </c>
      <c r="M18" s="60">
        <f t="shared" si="8"/>
      </c>
      <c r="N18" s="61">
        <f t="shared" si="9"/>
      </c>
      <c r="O18" s="90" t="e">
        <f t="shared" si="10"/>
        <v>#VALUE!</v>
      </c>
      <c r="P18" s="141"/>
      <c r="Q18" s="62"/>
      <c r="R18" s="5"/>
      <c r="S18" s="118">
        <f t="shared" si="5"/>
      </c>
      <c r="T18" s="53">
        <f t="shared" si="6"/>
      </c>
      <c r="U18" s="119">
        <f t="shared" si="7"/>
      </c>
      <c r="V18" s="5"/>
      <c r="W18" s="123">
        <f t="shared" si="11"/>
      </c>
      <c r="X18" s="89">
        <f t="shared" si="12"/>
      </c>
      <c r="Y18" s="124">
        <f t="shared" si="13"/>
      </c>
    </row>
    <row r="19" spans="2:25" ht="14.25">
      <c r="B19" s="87"/>
      <c r="C19" s="14"/>
      <c r="D19" s="58">
        <f t="shared" si="0"/>
      </c>
      <c r="E19" s="15">
        <f t="shared" si="1"/>
      </c>
      <c r="F19" s="59"/>
      <c r="G19" s="10"/>
      <c r="H19" s="14">
        <f t="shared" si="2"/>
      </c>
      <c r="I19" s="144">
        <f t="shared" si="3"/>
      </c>
      <c r="J19" s="15"/>
      <c r="K19" s="27">
        <f t="shared" si="4"/>
      </c>
      <c r="L19" s="10">
        <f t="shared" si="14"/>
      </c>
      <c r="M19" s="60">
        <f t="shared" si="8"/>
      </c>
      <c r="N19" s="61">
        <f t="shared" si="9"/>
      </c>
      <c r="O19" s="90" t="e">
        <f t="shared" si="10"/>
        <v>#VALUE!</v>
      </c>
      <c r="P19" s="141"/>
      <c r="Q19" s="62"/>
      <c r="R19" s="5"/>
      <c r="S19" s="118">
        <f t="shared" si="5"/>
      </c>
      <c r="T19" s="53">
        <f t="shared" si="6"/>
      </c>
      <c r="U19" s="119">
        <f t="shared" si="7"/>
      </c>
      <c r="V19" s="5"/>
      <c r="W19" s="123">
        <f t="shared" si="11"/>
      </c>
      <c r="X19" s="89">
        <f t="shared" si="12"/>
      </c>
      <c r="Y19" s="124">
        <f t="shared" si="13"/>
      </c>
    </row>
    <row r="20" spans="2:25" ht="14.25">
      <c r="B20" s="87"/>
      <c r="C20" s="14"/>
      <c r="D20" s="58">
        <f t="shared" si="0"/>
      </c>
      <c r="E20" s="15">
        <f t="shared" si="1"/>
      </c>
      <c r="F20" s="59"/>
      <c r="G20" s="10"/>
      <c r="H20" s="14">
        <f t="shared" si="2"/>
      </c>
      <c r="I20" s="144">
        <f t="shared" si="3"/>
      </c>
      <c r="J20" s="15"/>
      <c r="K20" s="27">
        <f t="shared" si="4"/>
      </c>
      <c r="L20" s="10">
        <f t="shared" si="14"/>
      </c>
      <c r="M20" s="60">
        <f t="shared" si="8"/>
      </c>
      <c r="N20" s="61">
        <f t="shared" si="9"/>
      </c>
      <c r="O20" s="90" t="e">
        <f t="shared" si="10"/>
        <v>#VALUE!</v>
      </c>
      <c r="P20" s="141"/>
      <c r="Q20" s="62"/>
      <c r="R20" s="5"/>
      <c r="S20" s="118">
        <f t="shared" si="5"/>
      </c>
      <c r="T20" s="53">
        <f t="shared" si="6"/>
      </c>
      <c r="U20" s="119">
        <f t="shared" si="7"/>
      </c>
      <c r="V20" s="5"/>
      <c r="W20" s="123">
        <f t="shared" si="11"/>
      </c>
      <c r="X20" s="89">
        <f t="shared" si="12"/>
      </c>
      <c r="Y20" s="124">
        <f t="shared" si="13"/>
      </c>
    </row>
    <row r="21" spans="2:25" ht="14.25">
      <c r="B21" s="88"/>
      <c r="C21" s="16"/>
      <c r="D21" s="63">
        <f t="shared" si="0"/>
      </c>
      <c r="E21" s="17">
        <f t="shared" si="1"/>
      </c>
      <c r="F21" s="64"/>
      <c r="G21" s="12"/>
      <c r="H21" s="152">
        <f t="shared" si="2"/>
      </c>
      <c r="I21" s="159">
        <f t="shared" si="3"/>
      </c>
      <c r="J21" s="153"/>
      <c r="K21" s="154">
        <f t="shared" si="4"/>
      </c>
      <c r="L21" s="155">
        <f t="shared" si="14"/>
      </c>
      <c r="M21" s="156">
        <f t="shared" si="8"/>
      </c>
      <c r="N21" s="157">
        <f t="shared" si="9"/>
      </c>
      <c r="O21" s="158" t="e">
        <f t="shared" si="10"/>
        <v>#VALUE!</v>
      </c>
      <c r="P21" s="142"/>
      <c r="Q21" s="67"/>
      <c r="R21" s="5"/>
      <c r="S21" s="118">
        <f t="shared" si="5"/>
      </c>
      <c r="T21" s="53">
        <f t="shared" si="6"/>
      </c>
      <c r="U21" s="119">
        <f t="shared" si="7"/>
      </c>
      <c r="V21" s="5"/>
      <c r="W21" s="123">
        <f t="shared" si="11"/>
      </c>
      <c r="X21" s="89">
        <f t="shared" si="12"/>
      </c>
      <c r="Y21" s="124">
        <f t="shared" si="13"/>
      </c>
    </row>
    <row r="22" spans="2:25" ht="14.25">
      <c r="B22" s="98"/>
      <c r="C22" s="18"/>
      <c r="D22" s="50">
        <f t="shared" si="0"/>
      </c>
      <c r="E22" s="51">
        <f t="shared" si="1"/>
      </c>
      <c r="F22" s="99"/>
      <c r="G22" s="13"/>
      <c r="H22" s="49">
        <f t="shared" si="2"/>
      </c>
      <c r="I22" s="93">
        <f t="shared" si="3"/>
      </c>
      <c r="J22" s="51"/>
      <c r="K22" s="54">
        <f t="shared" si="4"/>
      </c>
      <c r="L22" s="8">
        <f t="shared" si="14"/>
      </c>
      <c r="M22" s="55">
        <f t="shared" si="8"/>
      </c>
      <c r="N22" s="56">
        <f t="shared" si="9"/>
      </c>
      <c r="O22" s="89"/>
      <c r="P22" s="143"/>
      <c r="Q22" s="102"/>
      <c r="R22" s="5"/>
      <c r="S22" s="118">
        <f t="shared" si="5"/>
      </c>
      <c r="T22" s="53">
        <f t="shared" si="6"/>
      </c>
      <c r="U22" s="119">
        <f t="shared" si="7"/>
      </c>
      <c r="V22" s="5"/>
      <c r="W22" s="123">
        <f t="shared" si="11"/>
      </c>
      <c r="X22" s="89">
        <f t="shared" si="12"/>
      </c>
      <c r="Y22" s="124">
        <f t="shared" si="13"/>
      </c>
    </row>
    <row r="23" spans="2:25" ht="14.25">
      <c r="B23" s="87"/>
      <c r="C23" s="14"/>
      <c r="D23" s="58">
        <f t="shared" si="0"/>
      </c>
      <c r="E23" s="15">
        <f t="shared" si="1"/>
      </c>
      <c r="F23" s="59"/>
      <c r="G23" s="10"/>
      <c r="H23" s="14">
        <f t="shared" si="2"/>
      </c>
      <c r="I23" s="144">
        <f t="shared" si="3"/>
      </c>
      <c r="J23" s="15"/>
      <c r="K23" s="27">
        <f t="shared" si="4"/>
      </c>
      <c r="L23" s="10">
        <f t="shared" si="14"/>
      </c>
      <c r="M23" s="60">
        <f t="shared" si="8"/>
      </c>
      <c r="N23" s="61">
        <f t="shared" si="9"/>
      </c>
      <c r="O23" s="90">
        <f aca="true" t="shared" si="15" ref="O23:O31">IF($O$6="MAX=20",W23,IF($O$6="MAX=30",X23,IF($O$6="MAX=40",Y23,"")))</f>
      </c>
      <c r="P23" s="141"/>
      <c r="Q23" s="62"/>
      <c r="R23" s="5"/>
      <c r="S23" s="118">
        <f t="shared" si="5"/>
      </c>
      <c r="T23" s="53">
        <f t="shared" si="6"/>
      </c>
      <c r="U23" s="119">
        <f t="shared" si="7"/>
      </c>
      <c r="V23" s="5"/>
      <c r="W23" s="123">
        <f t="shared" si="11"/>
      </c>
      <c r="X23" s="89">
        <f t="shared" si="12"/>
      </c>
      <c r="Y23" s="124">
        <f t="shared" si="13"/>
      </c>
    </row>
    <row r="24" spans="2:25" ht="14.25">
      <c r="B24" s="87"/>
      <c r="C24" s="14"/>
      <c r="D24" s="58">
        <f t="shared" si="0"/>
      </c>
      <c r="E24" s="15">
        <f t="shared" si="1"/>
      </c>
      <c r="F24" s="59"/>
      <c r="G24" s="10"/>
      <c r="H24" s="14">
        <f t="shared" si="2"/>
      </c>
      <c r="I24" s="144"/>
      <c r="J24" s="15"/>
      <c r="K24" s="27">
        <f t="shared" si="4"/>
      </c>
      <c r="L24" s="10">
        <f t="shared" si="14"/>
      </c>
      <c r="M24" s="60">
        <f t="shared" si="8"/>
      </c>
      <c r="N24" s="61">
        <f t="shared" si="9"/>
      </c>
      <c r="O24" s="90">
        <f t="shared" si="15"/>
      </c>
      <c r="P24" s="141"/>
      <c r="Q24" s="62"/>
      <c r="R24" s="5"/>
      <c r="S24" s="118">
        <f t="shared" si="5"/>
      </c>
      <c r="T24" s="53">
        <f t="shared" si="6"/>
      </c>
      <c r="U24" s="119">
        <f t="shared" si="7"/>
      </c>
      <c r="V24" s="5"/>
      <c r="W24" s="123">
        <f t="shared" si="11"/>
      </c>
      <c r="X24" s="89">
        <f t="shared" si="12"/>
      </c>
      <c r="Y24" s="124">
        <f t="shared" si="13"/>
      </c>
    </row>
    <row r="25" spans="2:25" ht="14.25">
      <c r="B25" s="87"/>
      <c r="C25" s="14"/>
      <c r="D25" s="58">
        <f t="shared" si="0"/>
      </c>
      <c r="E25" s="15">
        <f t="shared" si="1"/>
      </c>
      <c r="F25" s="59"/>
      <c r="G25" s="10"/>
      <c r="H25" s="14">
        <f t="shared" si="2"/>
      </c>
      <c r="I25" s="144">
        <f aca="true" t="shared" si="16" ref="I25:I31">IF($I$6="Ⅰ",S25,IF($I$6="Ⅱ",T25,IF($I$6="Ⅲ",U25,"")))</f>
      </c>
      <c r="J25" s="15"/>
      <c r="K25" s="27">
        <f t="shared" si="4"/>
      </c>
      <c r="L25" s="10">
        <f t="shared" si="14"/>
      </c>
      <c r="M25" s="60">
        <f t="shared" si="8"/>
      </c>
      <c r="N25" s="61">
        <f t="shared" si="9"/>
      </c>
      <c r="O25" s="90">
        <f t="shared" si="15"/>
      </c>
      <c r="P25" s="141"/>
      <c r="Q25" s="62"/>
      <c r="R25" s="5"/>
      <c r="S25" s="118">
        <f t="shared" si="5"/>
      </c>
      <c r="T25" s="53">
        <f t="shared" si="6"/>
      </c>
      <c r="U25" s="119">
        <f t="shared" si="7"/>
      </c>
      <c r="V25" s="5"/>
      <c r="W25" s="123">
        <f t="shared" si="11"/>
      </c>
      <c r="X25" s="89">
        <f t="shared" si="12"/>
      </c>
      <c r="Y25" s="124">
        <f t="shared" si="13"/>
      </c>
    </row>
    <row r="26" spans="2:25" ht="14.25">
      <c r="B26" s="88"/>
      <c r="C26" s="16"/>
      <c r="D26" s="63">
        <f t="shared" si="0"/>
      </c>
      <c r="E26" s="17">
        <f t="shared" si="1"/>
      </c>
      <c r="F26" s="64"/>
      <c r="G26" s="12"/>
      <c r="H26" s="16">
        <f t="shared" si="2"/>
      </c>
      <c r="I26" s="96">
        <f t="shared" si="16"/>
      </c>
      <c r="J26" s="17"/>
      <c r="K26" s="28">
        <f t="shared" si="4"/>
      </c>
      <c r="L26" s="12">
        <f t="shared" si="14"/>
      </c>
      <c r="M26" s="65">
        <f t="shared" si="8"/>
      </c>
      <c r="N26" s="66">
        <f t="shared" si="9"/>
      </c>
      <c r="O26" s="91">
        <f t="shared" si="15"/>
      </c>
      <c r="P26" s="142"/>
      <c r="Q26" s="67"/>
      <c r="R26" s="5"/>
      <c r="S26" s="118">
        <f t="shared" si="5"/>
      </c>
      <c r="T26" s="53">
        <f t="shared" si="6"/>
      </c>
      <c r="U26" s="119">
        <f t="shared" si="7"/>
      </c>
      <c r="V26" s="5"/>
      <c r="W26" s="123">
        <f t="shared" si="11"/>
      </c>
      <c r="X26" s="89">
        <f t="shared" si="12"/>
      </c>
      <c r="Y26" s="124">
        <f t="shared" si="13"/>
      </c>
    </row>
    <row r="27" spans="2:25" ht="14.25">
      <c r="B27" s="98"/>
      <c r="C27" s="18"/>
      <c r="D27" s="145">
        <f t="shared" si="0"/>
      </c>
      <c r="E27" s="146">
        <f t="shared" si="1"/>
      </c>
      <c r="F27" s="99"/>
      <c r="G27" s="13"/>
      <c r="H27" s="18">
        <f t="shared" si="2"/>
      </c>
      <c r="I27" s="160">
        <f t="shared" si="16"/>
      </c>
      <c r="J27" s="146"/>
      <c r="K27" s="147">
        <f t="shared" si="4"/>
      </c>
      <c r="L27" s="13">
        <f t="shared" si="14"/>
      </c>
      <c r="M27" s="100">
        <f t="shared" si="8"/>
      </c>
      <c r="N27" s="101">
        <f t="shared" si="9"/>
      </c>
      <c r="O27" s="148">
        <f t="shared" si="15"/>
      </c>
      <c r="P27" s="143"/>
      <c r="Q27" s="102"/>
      <c r="R27" s="5"/>
      <c r="S27" s="118">
        <f t="shared" si="5"/>
      </c>
      <c r="T27" s="53">
        <f t="shared" si="6"/>
      </c>
      <c r="U27" s="119">
        <f t="shared" si="7"/>
      </c>
      <c r="V27" s="5"/>
      <c r="W27" s="123">
        <f t="shared" si="11"/>
      </c>
      <c r="X27" s="89">
        <f t="shared" si="12"/>
      </c>
      <c r="Y27" s="124">
        <f t="shared" si="13"/>
      </c>
    </row>
    <row r="28" spans="2:25" ht="14.25">
      <c r="B28" s="87"/>
      <c r="C28" s="14"/>
      <c r="D28" s="58">
        <f t="shared" si="0"/>
      </c>
      <c r="E28" s="15">
        <f t="shared" si="1"/>
      </c>
      <c r="F28" s="59"/>
      <c r="G28" s="10"/>
      <c r="H28" s="14">
        <f t="shared" si="2"/>
      </c>
      <c r="I28" s="144">
        <f t="shared" si="16"/>
      </c>
      <c r="J28" s="15"/>
      <c r="K28" s="27">
        <f t="shared" si="4"/>
      </c>
      <c r="L28" s="10">
        <f t="shared" si="14"/>
      </c>
      <c r="M28" s="60">
        <f t="shared" si="8"/>
      </c>
      <c r="N28" s="61">
        <f t="shared" si="9"/>
      </c>
      <c r="O28" s="90">
        <f t="shared" si="15"/>
      </c>
      <c r="P28" s="141"/>
      <c r="Q28" s="62"/>
      <c r="R28" s="5"/>
      <c r="S28" s="118">
        <f t="shared" si="5"/>
      </c>
      <c r="T28" s="53">
        <f t="shared" si="6"/>
      </c>
      <c r="U28" s="119">
        <f t="shared" si="7"/>
      </c>
      <c r="V28" s="5"/>
      <c r="W28" s="123">
        <f t="shared" si="11"/>
      </c>
      <c r="X28" s="89">
        <f t="shared" si="12"/>
      </c>
      <c r="Y28" s="124">
        <f t="shared" si="13"/>
      </c>
    </row>
    <row r="29" spans="2:25" ht="14.25">
      <c r="B29" s="87"/>
      <c r="C29" s="14"/>
      <c r="D29" s="58">
        <f t="shared" si="0"/>
      </c>
      <c r="E29" s="15">
        <f t="shared" si="1"/>
      </c>
      <c r="F29" s="59"/>
      <c r="G29" s="10"/>
      <c r="H29" s="14">
        <f t="shared" si="2"/>
      </c>
      <c r="I29" s="144">
        <f t="shared" si="16"/>
      </c>
      <c r="J29" s="15"/>
      <c r="K29" s="27">
        <f t="shared" si="4"/>
      </c>
      <c r="L29" s="10">
        <f t="shared" si="14"/>
      </c>
      <c r="M29" s="60">
        <f t="shared" si="8"/>
      </c>
      <c r="N29" s="61">
        <f t="shared" si="9"/>
      </c>
      <c r="O29" s="90">
        <f t="shared" si="15"/>
      </c>
      <c r="P29" s="141"/>
      <c r="Q29" s="62"/>
      <c r="R29" s="5"/>
      <c r="S29" s="118">
        <f t="shared" si="5"/>
      </c>
      <c r="T29" s="53">
        <f>IF(ISBLANK(C29),"",VLOOKUP(C29,各艇データ,5,FALSE))</f>
      </c>
      <c r="U29" s="119">
        <f t="shared" si="7"/>
      </c>
      <c r="V29" s="5"/>
      <c r="W29" s="123">
        <f t="shared" si="11"/>
      </c>
      <c r="X29" s="89">
        <f t="shared" si="12"/>
      </c>
      <c r="Y29" s="124">
        <f t="shared" si="13"/>
      </c>
    </row>
    <row r="30" spans="2:25" ht="14.25">
      <c r="B30" s="87"/>
      <c r="C30" s="14"/>
      <c r="D30" s="58">
        <f t="shared" si="0"/>
      </c>
      <c r="E30" s="15">
        <f t="shared" si="1"/>
      </c>
      <c r="F30" s="59"/>
      <c r="G30" s="10"/>
      <c r="H30" s="14">
        <f t="shared" si="2"/>
      </c>
      <c r="I30" s="144">
        <f t="shared" si="16"/>
      </c>
      <c r="J30" s="15"/>
      <c r="K30" s="27">
        <f t="shared" si="4"/>
      </c>
      <c r="L30" s="10">
        <f t="shared" si="14"/>
      </c>
      <c r="M30" s="60">
        <f t="shared" si="8"/>
      </c>
      <c r="N30" s="61">
        <f t="shared" si="9"/>
      </c>
      <c r="O30" s="90">
        <f t="shared" si="15"/>
      </c>
      <c r="P30" s="141"/>
      <c r="Q30" s="62"/>
      <c r="R30" s="5"/>
      <c r="S30" s="118">
        <f t="shared" si="5"/>
      </c>
      <c r="T30" s="53">
        <f t="shared" si="6"/>
      </c>
      <c r="U30" s="119">
        <f t="shared" si="7"/>
      </c>
      <c r="V30" s="5"/>
      <c r="W30" s="123">
        <f t="shared" si="11"/>
      </c>
      <c r="X30" s="89">
        <f t="shared" si="12"/>
      </c>
      <c r="Y30" s="124">
        <f t="shared" si="13"/>
      </c>
    </row>
    <row r="31" spans="2:25" ht="15" thickBot="1">
      <c r="B31" s="87"/>
      <c r="C31" s="14"/>
      <c r="D31" s="63">
        <f t="shared" si="0"/>
      </c>
      <c r="E31" s="17">
        <f t="shared" si="1"/>
      </c>
      <c r="F31" s="59"/>
      <c r="G31" s="10"/>
      <c r="H31" s="16">
        <f t="shared" si="2"/>
      </c>
      <c r="I31" s="96">
        <f t="shared" si="16"/>
      </c>
      <c r="J31" s="17"/>
      <c r="K31" s="28">
        <f t="shared" si="4"/>
      </c>
      <c r="L31" s="12">
        <f t="shared" si="14"/>
      </c>
      <c r="M31" s="65">
        <f t="shared" si="8"/>
      </c>
      <c r="N31" s="66">
        <f t="shared" si="9"/>
      </c>
      <c r="O31" s="91">
        <f t="shared" si="15"/>
      </c>
      <c r="P31" s="141"/>
      <c r="Q31" s="62"/>
      <c r="R31" s="5"/>
      <c r="S31" s="120">
        <f t="shared" si="5"/>
      </c>
      <c r="T31" s="121">
        <f t="shared" si="6"/>
      </c>
      <c r="U31" s="122">
        <f t="shared" si="7"/>
      </c>
      <c r="V31" s="5"/>
      <c r="W31" s="125">
        <f t="shared" si="11"/>
      </c>
      <c r="X31" s="126">
        <f t="shared" si="12"/>
      </c>
      <c r="Y31" s="68">
        <f t="shared" si="13"/>
      </c>
    </row>
    <row r="32" spans="2:22" ht="15" customHeight="1">
      <c r="B32" s="401" t="s">
        <v>78</v>
      </c>
      <c r="C32" s="402"/>
      <c r="D32" s="403"/>
      <c r="E32" s="367" t="s">
        <v>306</v>
      </c>
      <c r="F32" s="460"/>
      <c r="G32" s="461"/>
      <c r="H32" s="462" t="s">
        <v>371</v>
      </c>
      <c r="I32" s="463"/>
      <c r="J32" s="463"/>
      <c r="K32" s="463"/>
      <c r="L32" s="463"/>
      <c r="M32" s="463"/>
      <c r="N32" s="463"/>
      <c r="O32" s="463"/>
      <c r="P32" s="463"/>
      <c r="Q32" s="464"/>
      <c r="R32" s="1"/>
      <c r="T32" s="29"/>
      <c r="U32" s="1"/>
      <c r="V32" s="1"/>
    </row>
    <row r="33" spans="2:22" ht="15">
      <c r="B33" s="404"/>
      <c r="C33" s="405"/>
      <c r="D33" s="406"/>
      <c r="E33" s="368" t="s">
        <v>307</v>
      </c>
      <c r="F33" s="435"/>
      <c r="G33" s="436"/>
      <c r="H33" s="465"/>
      <c r="I33" s="466"/>
      <c r="J33" s="466"/>
      <c r="K33" s="466"/>
      <c r="L33" s="466"/>
      <c r="M33" s="466"/>
      <c r="N33" s="466"/>
      <c r="O33" s="466"/>
      <c r="P33" s="466"/>
      <c r="Q33" s="467"/>
      <c r="R33" s="1"/>
      <c r="U33" s="1"/>
      <c r="V33" s="1"/>
    </row>
    <row r="34" spans="2:22" ht="23.25" customHeight="1">
      <c r="B34" s="407"/>
      <c r="C34" s="408"/>
      <c r="D34" s="409"/>
      <c r="E34" s="368" t="s">
        <v>308</v>
      </c>
      <c r="F34" s="435"/>
      <c r="G34" s="436"/>
      <c r="H34" s="465"/>
      <c r="I34" s="466"/>
      <c r="J34" s="466"/>
      <c r="K34" s="466"/>
      <c r="L34" s="466"/>
      <c r="M34" s="466"/>
      <c r="N34" s="466"/>
      <c r="O34" s="466"/>
      <c r="P34" s="466"/>
      <c r="Q34" s="467"/>
      <c r="R34" s="1"/>
      <c r="U34" s="1"/>
      <c r="V34" s="1"/>
    </row>
    <row r="35" spans="2:22" ht="22.5" customHeight="1">
      <c r="B35" s="419" t="s">
        <v>79</v>
      </c>
      <c r="C35" s="420"/>
      <c r="D35" s="421"/>
      <c r="E35" s="429" t="s">
        <v>311</v>
      </c>
      <c r="F35" s="395" t="str">
        <f>'参照ﾃﾞｰﾀ'!AI7</f>
        <v>未央</v>
      </c>
      <c r="G35" s="396"/>
      <c r="H35" s="465"/>
      <c r="I35" s="466"/>
      <c r="J35" s="466"/>
      <c r="K35" s="466"/>
      <c r="L35" s="466"/>
      <c r="M35" s="466"/>
      <c r="N35" s="466"/>
      <c r="O35" s="466"/>
      <c r="P35" s="466"/>
      <c r="Q35" s="467"/>
      <c r="R35" s="1"/>
      <c r="U35" s="1"/>
      <c r="V35" s="1"/>
    </row>
    <row r="36" spans="2:22" ht="15" customHeight="1">
      <c r="B36" s="422"/>
      <c r="C36" s="423"/>
      <c r="D36" s="424"/>
      <c r="E36" s="430"/>
      <c r="F36" s="431"/>
      <c r="G36" s="432"/>
      <c r="H36" s="465"/>
      <c r="I36" s="466"/>
      <c r="J36" s="466"/>
      <c r="K36" s="466"/>
      <c r="L36" s="466"/>
      <c r="M36" s="466"/>
      <c r="N36" s="466"/>
      <c r="O36" s="466"/>
      <c r="P36" s="466"/>
      <c r="Q36" s="467"/>
      <c r="R36" s="1"/>
      <c r="U36" s="1"/>
      <c r="V36" s="1"/>
    </row>
    <row r="37" spans="2:22" ht="15" customHeight="1">
      <c r="B37" s="422"/>
      <c r="C37" s="423"/>
      <c r="D37" s="424"/>
      <c r="E37" s="367" t="s">
        <v>309</v>
      </c>
      <c r="F37" s="397">
        <f>'参照ﾃﾞｰﾀ'!R8</f>
        <v>42505</v>
      </c>
      <c r="G37" s="398"/>
      <c r="H37" s="465"/>
      <c r="I37" s="466"/>
      <c r="J37" s="466"/>
      <c r="K37" s="466"/>
      <c r="L37" s="466"/>
      <c r="M37" s="466"/>
      <c r="N37" s="466"/>
      <c r="O37" s="466"/>
      <c r="P37" s="466"/>
      <c r="Q37" s="467"/>
      <c r="R37" s="1"/>
      <c r="U37" s="1"/>
      <c r="V37" s="1"/>
    </row>
    <row r="38" spans="2:22" ht="15">
      <c r="B38" s="422"/>
      <c r="C38" s="423"/>
      <c r="D38" s="424"/>
      <c r="E38" s="368" t="s">
        <v>325</v>
      </c>
      <c r="F38" s="395" t="str">
        <f>'参照ﾃﾞｰﾀ'!AH8</f>
        <v>初島レース</v>
      </c>
      <c r="G38" s="396"/>
      <c r="H38" s="465"/>
      <c r="I38" s="466"/>
      <c r="J38" s="466"/>
      <c r="K38" s="466"/>
      <c r="L38" s="466"/>
      <c r="M38" s="466"/>
      <c r="N38" s="466"/>
      <c r="O38" s="466"/>
      <c r="P38" s="466"/>
      <c r="Q38" s="467"/>
      <c r="R38" s="1"/>
      <c r="U38" s="1"/>
      <c r="V38" s="1"/>
    </row>
    <row r="39" spans="2:22" ht="15">
      <c r="B39" s="422"/>
      <c r="C39" s="423"/>
      <c r="D39" s="424"/>
      <c r="E39" s="368" t="s">
        <v>310</v>
      </c>
      <c r="F39" s="395" t="str">
        <f>'参照ﾃﾞｰﾀ'!AI8</f>
        <v>ふるたか</v>
      </c>
      <c r="G39" s="396"/>
      <c r="H39" s="465"/>
      <c r="I39" s="466"/>
      <c r="J39" s="466"/>
      <c r="K39" s="466"/>
      <c r="L39" s="466"/>
      <c r="M39" s="466"/>
      <c r="N39" s="466"/>
      <c r="O39" s="466"/>
      <c r="P39" s="466"/>
      <c r="Q39" s="467"/>
      <c r="R39" s="1"/>
      <c r="U39" s="1"/>
      <c r="V39" s="1"/>
    </row>
    <row r="40" spans="2:22" ht="15">
      <c r="B40" s="422"/>
      <c r="C40" s="423"/>
      <c r="D40" s="424"/>
      <c r="E40" s="368"/>
      <c r="F40" s="395"/>
      <c r="G40" s="396"/>
      <c r="H40" s="465"/>
      <c r="I40" s="466"/>
      <c r="J40" s="466"/>
      <c r="K40" s="466"/>
      <c r="L40" s="466"/>
      <c r="M40" s="466"/>
      <c r="N40" s="466"/>
      <c r="O40" s="466"/>
      <c r="P40" s="466"/>
      <c r="Q40" s="467"/>
      <c r="R40" s="1"/>
      <c r="U40" s="1"/>
      <c r="V40" s="1"/>
    </row>
    <row r="41" spans="2:22" ht="11.25" customHeight="1" thickBot="1">
      <c r="B41" s="425"/>
      <c r="C41" s="426"/>
      <c r="D41" s="427"/>
      <c r="E41" s="369"/>
      <c r="F41" s="433"/>
      <c r="G41" s="434"/>
      <c r="H41" s="468"/>
      <c r="I41" s="469"/>
      <c r="J41" s="469"/>
      <c r="K41" s="469"/>
      <c r="L41" s="469"/>
      <c r="M41" s="469"/>
      <c r="N41" s="469"/>
      <c r="O41" s="469"/>
      <c r="P41" s="469"/>
      <c r="Q41" s="470"/>
      <c r="R41" s="1"/>
      <c r="S41" s="1"/>
      <c r="T41" s="1"/>
      <c r="U41" s="1"/>
      <c r="V41" s="1"/>
    </row>
  </sheetData>
  <sheetProtection password="EDAE" sheet="1"/>
  <mergeCells count="18">
    <mergeCell ref="J3:K3"/>
    <mergeCell ref="P5:Q5"/>
    <mergeCell ref="B32:D34"/>
    <mergeCell ref="H32:Q41"/>
    <mergeCell ref="B35:D41"/>
    <mergeCell ref="F32:G32"/>
    <mergeCell ref="E35:E36"/>
    <mergeCell ref="F35:G35"/>
    <mergeCell ref="F36:G36"/>
    <mergeCell ref="F37:G37"/>
    <mergeCell ref="D2:F2"/>
    <mergeCell ref="E3:I3"/>
    <mergeCell ref="F38:G38"/>
    <mergeCell ref="F39:G39"/>
    <mergeCell ref="F40:G40"/>
    <mergeCell ref="F41:G41"/>
    <mergeCell ref="F33:G33"/>
    <mergeCell ref="F34:G34"/>
  </mergeCells>
  <dataValidations count="8">
    <dataValidation type="list" allowBlank="1" showInputMessage="1" showErrorMessage="1" sqref="P2">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rintOptions/>
  <pageMargins left="0.31496062992125984" right="0" top="0.3543307086614173" bottom="0.1968503937007874" header="0" footer="0"/>
  <pageSetup orientation="landscape" paperSize="9" r:id="rId2"/>
  <drawing r:id="rId1"/>
</worksheet>
</file>

<file path=xl/worksheets/sheet5.xml><?xml version="1.0" encoding="utf-8"?>
<worksheet xmlns="http://schemas.openxmlformats.org/spreadsheetml/2006/main" xmlns:r="http://schemas.openxmlformats.org/officeDocument/2006/relationships">
  <dimension ref="B2:Y41"/>
  <sheetViews>
    <sheetView zoomScale="85" zoomScaleNormal="85" zoomScalePageLayoutView="0" workbookViewId="0" topLeftCell="A1">
      <selection activeCell="H32" sqref="H32:Q41"/>
    </sheetView>
  </sheetViews>
  <sheetFormatPr defaultColWidth="9.140625" defaultRowHeight="15"/>
  <cols>
    <col min="1" max="1" width="1.7109375" style="0" customWidth="1"/>
    <col min="2" max="2" width="5.00390625" style="0" customWidth="1"/>
    <col min="3" max="3" width="7.00390625" style="0" customWidth="1"/>
    <col min="4" max="4" width="18.00390625" style="0" customWidth="1"/>
    <col min="5" max="5" width="9.140625" style="0" customWidth="1"/>
    <col min="6" max="6" width="5.00390625" style="0" customWidth="1"/>
    <col min="7" max="7" width="10.8515625" style="0" customWidth="1"/>
    <col min="8" max="8" width="8.421875" style="0" customWidth="1"/>
    <col min="9" max="9" width="7.57421875" style="0" customWidth="1"/>
    <col min="10" max="10" width="5.00390625" style="0" customWidth="1"/>
    <col min="11" max="11" width="8.421875" style="0" customWidth="1"/>
    <col min="12" max="12" width="10.8515625" style="0" customWidth="1"/>
    <col min="13" max="13" width="9.28125" style="0" customWidth="1"/>
    <col min="14" max="14" width="7.8515625" style="0" customWidth="1"/>
    <col min="15" max="15" width="8.00390625" style="0" customWidth="1"/>
    <col min="16" max="16" width="11.28125" style="0" customWidth="1"/>
    <col min="17" max="17" width="12.28125" style="0" customWidth="1"/>
    <col min="18" max="18" width="4.8515625" style="0" customWidth="1"/>
    <col min="19" max="19" width="7.7109375" style="0" customWidth="1"/>
    <col min="20" max="21" width="7.57421875" style="0" customWidth="1"/>
    <col min="22" max="22" width="4.421875" style="0" customWidth="1"/>
    <col min="23" max="25" width="8.00390625" style="0" customWidth="1"/>
  </cols>
  <sheetData>
    <row r="1" ht="9.75" customHeight="1" thickBot="1"/>
    <row r="2" spans="2:25" ht="21.75" thickBot="1">
      <c r="B2" s="1"/>
      <c r="C2" s="2"/>
      <c r="D2" s="392" t="str">
        <f>'参照ﾃﾞｰﾀ'!N4</f>
        <v>2016年</v>
      </c>
      <c r="E2" s="392"/>
      <c r="F2" s="392"/>
      <c r="G2" s="95" t="s">
        <v>315</v>
      </c>
      <c r="H2" s="38"/>
      <c r="I2" s="3"/>
      <c r="J2" s="1"/>
      <c r="K2" s="26"/>
      <c r="L2" s="1"/>
      <c r="M2" s="78" t="s">
        <v>65</v>
      </c>
      <c r="N2" s="79" t="s">
        <v>59</v>
      </c>
      <c r="O2" s="80" t="s">
        <v>68</v>
      </c>
      <c r="P2" s="132">
        <v>42505</v>
      </c>
      <c r="Q2" s="114">
        <v>0</v>
      </c>
      <c r="R2" s="1"/>
      <c r="S2" s="1"/>
      <c r="T2" s="1"/>
      <c r="U2" s="1"/>
      <c r="V2" s="1"/>
      <c r="Y2" s="82">
        <v>9</v>
      </c>
    </row>
    <row r="3" spans="2:23" ht="21.75" customHeight="1" thickBot="1">
      <c r="B3" s="1"/>
      <c r="D3" s="162" t="s">
        <v>216</v>
      </c>
      <c r="E3" s="393" t="s">
        <v>82</v>
      </c>
      <c r="F3" s="393"/>
      <c r="G3" s="393"/>
      <c r="H3" s="393"/>
      <c r="I3" s="393"/>
      <c r="J3" s="394" t="s">
        <v>105</v>
      </c>
      <c r="K3" s="394"/>
      <c r="L3" s="4"/>
      <c r="M3" s="137" t="s">
        <v>94</v>
      </c>
      <c r="N3" s="139">
        <f>IF(ISBLANK(N2),"",VLOOKUP(N2,コース・距離,2,FALSE))</f>
        <v>47.4</v>
      </c>
      <c r="O3" s="81" t="s">
        <v>0</v>
      </c>
      <c r="P3" s="82">
        <v>9</v>
      </c>
      <c r="Q3" s="83" t="s">
        <v>1</v>
      </c>
      <c r="R3" s="1"/>
      <c r="S3" s="112" t="s">
        <v>2</v>
      </c>
      <c r="T3" s="69"/>
      <c r="U3" s="69"/>
      <c r="V3" s="1"/>
      <c r="W3" s="127" t="s">
        <v>95</v>
      </c>
    </row>
    <row r="4" spans="2:22" ht="7.5" customHeight="1" thickBot="1">
      <c r="B4" s="1"/>
      <c r="C4" s="1"/>
      <c r="D4" s="1"/>
      <c r="E4" s="1"/>
      <c r="F4" s="1"/>
      <c r="G4" s="1"/>
      <c r="H4" s="1"/>
      <c r="I4" s="1"/>
      <c r="J4" s="1"/>
      <c r="K4" s="1"/>
      <c r="L4" s="1"/>
      <c r="M4" s="1"/>
      <c r="N4" s="1"/>
      <c r="O4" s="1"/>
      <c r="P4" s="1"/>
      <c r="Q4" s="1"/>
      <c r="R4" s="1"/>
      <c r="S4" s="70"/>
      <c r="T4" s="69"/>
      <c r="U4" s="69"/>
      <c r="V4" s="1"/>
    </row>
    <row r="5" spans="2:25" ht="14.25">
      <c r="B5" s="97" t="s">
        <v>3</v>
      </c>
      <c r="C5" s="76" t="s">
        <v>4</v>
      </c>
      <c r="D5" s="76" t="s">
        <v>5</v>
      </c>
      <c r="E5" s="76" t="s">
        <v>6</v>
      </c>
      <c r="F5" s="76" t="s">
        <v>7</v>
      </c>
      <c r="G5" s="76" t="s">
        <v>8</v>
      </c>
      <c r="H5" s="76" t="s">
        <v>9</v>
      </c>
      <c r="I5" s="76" t="s">
        <v>10</v>
      </c>
      <c r="J5" s="76" t="s">
        <v>11</v>
      </c>
      <c r="K5" s="76" t="s">
        <v>12</v>
      </c>
      <c r="L5" s="77" t="s">
        <v>72</v>
      </c>
      <c r="M5" s="77" t="s">
        <v>73</v>
      </c>
      <c r="N5" s="76" t="s">
        <v>90</v>
      </c>
      <c r="O5" s="76" t="s">
        <v>13</v>
      </c>
      <c r="P5" s="399" t="s">
        <v>89</v>
      </c>
      <c r="Q5" s="400"/>
      <c r="R5" s="5"/>
      <c r="S5" s="75" t="s">
        <v>10</v>
      </c>
      <c r="T5" s="76" t="s">
        <v>10</v>
      </c>
      <c r="U5" s="115" t="s">
        <v>10</v>
      </c>
      <c r="V5" s="5"/>
      <c r="W5" s="75" t="s">
        <v>13</v>
      </c>
      <c r="X5" s="76" t="s">
        <v>13</v>
      </c>
      <c r="Y5" s="115" t="s">
        <v>13</v>
      </c>
    </row>
    <row r="6" spans="2:25" ht="14.25">
      <c r="B6" s="43"/>
      <c r="C6" s="44" t="s">
        <v>14</v>
      </c>
      <c r="D6" s="45"/>
      <c r="E6" s="46" t="s">
        <v>15</v>
      </c>
      <c r="F6" s="46"/>
      <c r="G6" s="44"/>
      <c r="H6" s="46" t="s">
        <v>17</v>
      </c>
      <c r="I6" s="44" t="s">
        <v>381</v>
      </c>
      <c r="J6" s="46" t="s">
        <v>18</v>
      </c>
      <c r="K6" s="46" t="s">
        <v>17</v>
      </c>
      <c r="L6" s="44" t="s">
        <v>16</v>
      </c>
      <c r="M6" s="46" t="s">
        <v>58</v>
      </c>
      <c r="N6" s="46" t="s">
        <v>19</v>
      </c>
      <c r="O6" s="71" t="str">
        <f>IF(ISBLANK($N$2),"",VLOOKUP($N$2,コース・距離,3,FALSE))</f>
        <v>MAX=40</v>
      </c>
      <c r="P6" s="47" t="str">
        <f>IF($N$2="初島","初島MAG0°","")</f>
        <v>初島MAG0°</v>
      </c>
      <c r="Q6" s="48"/>
      <c r="R6" s="6"/>
      <c r="S6" s="116" t="s">
        <v>20</v>
      </c>
      <c r="T6" s="71" t="s">
        <v>22</v>
      </c>
      <c r="U6" s="117" t="s">
        <v>21</v>
      </c>
      <c r="V6" s="6"/>
      <c r="W6" s="116" t="s">
        <v>97</v>
      </c>
      <c r="X6" s="71" t="s">
        <v>98</v>
      </c>
      <c r="Y6" s="117" t="s">
        <v>99</v>
      </c>
    </row>
    <row r="7" spans="2:25" ht="14.25">
      <c r="B7" s="86">
        <v>1</v>
      </c>
      <c r="C7" s="49">
        <v>321</v>
      </c>
      <c r="D7" s="50" t="str">
        <f aca="true" t="shared" si="0" ref="D7:D15">IF(ISBLANK(C7),"",VLOOKUP(C7,各艇データ,2,FALSE))</f>
        <v>かまくら</v>
      </c>
      <c r="E7" s="51">
        <f aca="true" t="shared" si="1" ref="E7:E15">IF(ISBLANK(C7),"",VLOOKUP(C7,各艇データ,3,FALSE))</f>
        <v>9.242</v>
      </c>
      <c r="F7" s="52">
        <v>2</v>
      </c>
      <c r="G7" s="8">
        <v>0.3133912037037037</v>
      </c>
      <c r="H7" s="49">
        <f aca="true" t="shared" si="2" ref="H7:H15">_xlfn.IFERROR(IF(G7-$Q$2&lt;=0,"",(G7-$Q$2)*86400),"")</f>
        <v>27077</v>
      </c>
      <c r="I7" s="93">
        <f aca="true" t="shared" si="3" ref="I7:I15">IF($I$6="Ⅰ",S7,IF($I$6="Ⅱ",T7,IF($I$6="Ⅲ",U7,"")))</f>
        <v>440.1</v>
      </c>
      <c r="J7" s="113"/>
      <c r="K7" s="54">
        <f aca="true" t="shared" si="4" ref="K7:K15">_xlfn.IFERROR(H7*(1+0.01*J7)-I7*$N$3,"")</f>
        <v>6216.259999999998</v>
      </c>
      <c r="L7" s="8">
        <f>_xlfn.IFERROR((K7-$K$7)/86400,"")</f>
        <v>0</v>
      </c>
      <c r="M7" s="55">
        <f>_xlfn.IFERROR((K7-$K$7)/$N$3,"")</f>
        <v>0</v>
      </c>
      <c r="N7" s="56">
        <f>_xlfn.IFERROR($N$3/(H7/3600),"")</f>
        <v>6.302027551058093</v>
      </c>
      <c r="O7" s="89">
        <f>ROUND(IF($O$6="MAX=20",W7,IF($O$6="MAX=30",X7,IF($O$6="MAX=40",Y7,""))),1)</f>
        <v>40</v>
      </c>
      <c r="P7" s="140">
        <v>0.12013888888888889</v>
      </c>
      <c r="Q7" s="57"/>
      <c r="R7" s="5"/>
      <c r="S7" s="118">
        <f aca="true" t="shared" si="5" ref="S7:S31">IF(ISBLANK(C7),"",VLOOKUP(C7,各艇データ,4,FALSE))</f>
        <v>777.2</v>
      </c>
      <c r="T7" s="53">
        <f aca="true" t="shared" si="6" ref="T7:T31">IF(ISBLANK(C7),"",VLOOKUP(C7,各艇データ,5,FALSE))</f>
        <v>548.5</v>
      </c>
      <c r="U7" s="119">
        <f aca="true" t="shared" si="7" ref="U7:U31">IF(ISBLANK(C7),"",VLOOKUP(C7,各艇データ,6,FALSE))</f>
        <v>440.1</v>
      </c>
      <c r="V7" s="5"/>
      <c r="W7" s="123">
        <f aca="true" t="shared" si="8" ref="W7:W31">IF(ISBLANK(B7),"",_xlfn.IFERROR(20*($P$3+1-$B7)/$P$3,"20.0"))</f>
        <v>20</v>
      </c>
      <c r="X7" s="89">
        <f aca="true" t="shared" si="9" ref="X7:X31">IF(ISBLANK(B7),"",_xlfn.IFERROR(30*($P$3+1-$B7)/$P$3,"30.0"))</f>
        <v>30</v>
      </c>
      <c r="Y7" s="124">
        <f aca="true" t="shared" si="10" ref="Y7:Y31">IF(ISBLANK(B7),"",_xlfn.IFERROR(30*($P$3-$B7)/($P$3-1)+10,"20.0"))</f>
        <v>40</v>
      </c>
    </row>
    <row r="8" spans="2:25" ht="14.25">
      <c r="B8" s="87">
        <v>2</v>
      </c>
      <c r="C8" s="85">
        <v>1611</v>
      </c>
      <c r="D8" s="58" t="str">
        <f t="shared" si="0"/>
        <v>ﾈﾌﾟﾁｭｰﾝXⅡ</v>
      </c>
      <c r="E8" s="15">
        <f t="shared" si="1"/>
        <v>8.438</v>
      </c>
      <c r="F8" s="59">
        <v>3</v>
      </c>
      <c r="G8" s="10">
        <v>0.3234722222222222</v>
      </c>
      <c r="H8" s="14">
        <f t="shared" si="2"/>
        <v>27948</v>
      </c>
      <c r="I8" s="144">
        <f t="shared" si="3"/>
        <v>457.3</v>
      </c>
      <c r="J8" s="15"/>
      <c r="K8" s="27">
        <f t="shared" si="4"/>
        <v>6271.98</v>
      </c>
      <c r="L8" s="10">
        <f>_xlfn.IFERROR((K8-$K$7)/86400,"")</f>
        <v>0.0006449074074074209</v>
      </c>
      <c r="M8" s="60">
        <f aca="true" t="shared" si="11" ref="M8:M31">_xlfn.IFERROR((K8-$K$7)/$N$3,"")</f>
        <v>1.175527426160362</v>
      </c>
      <c r="N8" s="61">
        <f aca="true" t="shared" si="12" ref="N8:N31">_xlfn.IFERROR($N$3/(H8/3600),"")</f>
        <v>6.1056247316444825</v>
      </c>
      <c r="O8" s="90">
        <f aca="true" t="shared" si="13" ref="O8:O14">ROUND(IF($O$6="MAX=20",W8,IF($O$6="MAX=30",X8,IF($O$6="MAX=40",Y8,""))),1)</f>
        <v>36.3</v>
      </c>
      <c r="P8" s="141">
        <v>0.12708333333333333</v>
      </c>
      <c r="Q8" s="62"/>
      <c r="R8" s="5"/>
      <c r="S8" s="118">
        <f t="shared" si="5"/>
        <v>805.3</v>
      </c>
      <c r="T8" s="53">
        <f t="shared" si="6"/>
        <v>568.8</v>
      </c>
      <c r="U8" s="119">
        <f t="shared" si="7"/>
        <v>457.3</v>
      </c>
      <c r="V8" s="5"/>
      <c r="W8" s="123">
        <f t="shared" si="8"/>
        <v>17.77777777777778</v>
      </c>
      <c r="X8" s="89">
        <f t="shared" si="9"/>
        <v>26.666666666666668</v>
      </c>
      <c r="Y8" s="124">
        <f t="shared" si="10"/>
        <v>36.25</v>
      </c>
    </row>
    <row r="9" spans="2:25" ht="14.25">
      <c r="B9" s="87">
        <v>3</v>
      </c>
      <c r="C9" s="14">
        <v>1985</v>
      </c>
      <c r="D9" s="58" t="str">
        <f t="shared" si="0"/>
        <v>波勝</v>
      </c>
      <c r="E9" s="15">
        <f t="shared" si="1"/>
        <v>7.059</v>
      </c>
      <c r="F9" s="59">
        <v>7</v>
      </c>
      <c r="G9" s="10">
        <v>0.3495949074074074</v>
      </c>
      <c r="H9" s="14">
        <f t="shared" si="2"/>
        <v>30205</v>
      </c>
      <c r="I9" s="144">
        <f t="shared" si="3"/>
        <v>492.9</v>
      </c>
      <c r="J9" s="15"/>
      <c r="K9" s="27">
        <f t="shared" si="4"/>
        <v>6841.540000000001</v>
      </c>
      <c r="L9" s="10">
        <f aca="true" t="shared" si="14" ref="L9:L31">_xlfn.IFERROR((K9-$K$7)/86400,"")</f>
        <v>0.007237037037037065</v>
      </c>
      <c r="M9" s="60">
        <f t="shared" si="11"/>
        <v>13.191561181434652</v>
      </c>
      <c r="N9" s="61">
        <f t="shared" si="12"/>
        <v>5.649395795398113</v>
      </c>
      <c r="O9" s="90">
        <f t="shared" si="13"/>
        <v>32.5</v>
      </c>
      <c r="P9" s="141">
        <v>0.13541666666666666</v>
      </c>
      <c r="Q9" s="62"/>
      <c r="R9" s="5"/>
      <c r="S9" s="118">
        <f t="shared" si="5"/>
        <v>863.3</v>
      </c>
      <c r="T9" s="53">
        <f t="shared" si="6"/>
        <v>610.9</v>
      </c>
      <c r="U9" s="119">
        <f t="shared" si="7"/>
        <v>492.9</v>
      </c>
      <c r="V9" s="5"/>
      <c r="W9" s="123">
        <f t="shared" si="8"/>
        <v>15.555555555555555</v>
      </c>
      <c r="X9" s="89">
        <f t="shared" si="9"/>
        <v>23.333333333333332</v>
      </c>
      <c r="Y9" s="124">
        <f t="shared" si="10"/>
        <v>32.5</v>
      </c>
    </row>
    <row r="10" spans="2:25" ht="14.25">
      <c r="B10" s="87">
        <v>4</v>
      </c>
      <c r="C10" s="14">
        <v>5752</v>
      </c>
      <c r="D10" s="58" t="str">
        <f t="shared" si="0"/>
        <v>アルファ</v>
      </c>
      <c r="E10" s="15">
        <f t="shared" si="1"/>
        <v>10.394</v>
      </c>
      <c r="F10" s="59">
        <v>1</v>
      </c>
      <c r="G10" s="10">
        <v>0.3108796296296296</v>
      </c>
      <c r="H10" s="14">
        <f t="shared" si="2"/>
        <v>26860</v>
      </c>
      <c r="I10" s="144">
        <f t="shared" si="3"/>
        <v>419</v>
      </c>
      <c r="J10" s="15"/>
      <c r="K10" s="27">
        <f t="shared" si="4"/>
        <v>6999.4000000000015</v>
      </c>
      <c r="L10" s="10">
        <f t="shared" si="14"/>
        <v>0.009064120370370406</v>
      </c>
      <c r="M10" s="60">
        <f t="shared" si="11"/>
        <v>16.52194092827011</v>
      </c>
      <c r="N10" s="61">
        <f t="shared" si="12"/>
        <v>6.352941176470588</v>
      </c>
      <c r="O10" s="90">
        <f t="shared" si="13"/>
        <v>28.8</v>
      </c>
      <c r="P10" s="141">
        <v>0.11805555555555557</v>
      </c>
      <c r="Q10" s="62"/>
      <c r="R10" s="5"/>
      <c r="S10" s="118">
        <f t="shared" si="5"/>
        <v>742.4</v>
      </c>
      <c r="T10" s="53">
        <f t="shared" si="6"/>
        <v>523.3</v>
      </c>
      <c r="U10" s="119">
        <f t="shared" si="7"/>
        <v>419</v>
      </c>
      <c r="V10" s="5"/>
      <c r="W10" s="123">
        <f t="shared" si="8"/>
        <v>13.333333333333334</v>
      </c>
      <c r="X10" s="89">
        <f t="shared" si="9"/>
        <v>20</v>
      </c>
      <c r="Y10" s="124">
        <f t="shared" si="10"/>
        <v>28.75</v>
      </c>
    </row>
    <row r="11" spans="2:25" ht="14.25">
      <c r="B11" s="88">
        <v>5</v>
      </c>
      <c r="C11" s="16">
        <v>162</v>
      </c>
      <c r="D11" s="63" t="str">
        <f t="shared" si="0"/>
        <v>ﾌｪﾆｯｸｽ</v>
      </c>
      <c r="E11" s="17">
        <f t="shared" si="1"/>
        <v>6.838</v>
      </c>
      <c r="F11" s="64">
        <v>9</v>
      </c>
      <c r="G11" s="12">
        <v>0.36179398148148145</v>
      </c>
      <c r="H11" s="152">
        <f t="shared" si="2"/>
        <v>31258.999999999996</v>
      </c>
      <c r="I11" s="96">
        <f t="shared" si="3"/>
        <v>499.5</v>
      </c>
      <c r="J11" s="153"/>
      <c r="K11" s="154">
        <f t="shared" si="4"/>
        <v>7582.699999999997</v>
      </c>
      <c r="L11" s="155">
        <f t="shared" si="14"/>
        <v>0.01581527777777776</v>
      </c>
      <c r="M11" s="156">
        <f t="shared" si="11"/>
        <v>28.827848101265797</v>
      </c>
      <c r="N11" s="157">
        <f t="shared" si="12"/>
        <v>5.458907834543652</v>
      </c>
      <c r="O11" s="158">
        <f t="shared" si="13"/>
        <v>25</v>
      </c>
      <c r="P11" s="142">
        <v>0.14722222222222223</v>
      </c>
      <c r="Q11" s="67"/>
      <c r="R11" s="5"/>
      <c r="S11" s="118">
        <f t="shared" si="5"/>
        <v>874.1</v>
      </c>
      <c r="T11" s="53">
        <f t="shared" si="6"/>
        <v>618.7</v>
      </c>
      <c r="U11" s="119">
        <f t="shared" si="7"/>
        <v>499.5</v>
      </c>
      <c r="V11" s="5"/>
      <c r="W11" s="123">
        <f t="shared" si="8"/>
        <v>11.11111111111111</v>
      </c>
      <c r="X11" s="89">
        <f t="shared" si="9"/>
        <v>16.666666666666668</v>
      </c>
      <c r="Y11" s="124">
        <f t="shared" si="10"/>
        <v>25</v>
      </c>
    </row>
    <row r="12" spans="2:25" ht="14.25">
      <c r="B12" s="86">
        <v>6</v>
      </c>
      <c r="C12" s="14">
        <v>1733</v>
      </c>
      <c r="D12" s="58" t="str">
        <f t="shared" si="0"/>
        <v>ケロニア</v>
      </c>
      <c r="E12" s="15">
        <f t="shared" si="1"/>
        <v>9.515</v>
      </c>
      <c r="F12" s="59">
        <v>4</v>
      </c>
      <c r="G12" s="10">
        <v>0.3273726851851852</v>
      </c>
      <c r="H12" s="49">
        <f t="shared" si="2"/>
        <v>28285</v>
      </c>
      <c r="I12" s="379">
        <f t="shared" si="3"/>
        <v>434.8</v>
      </c>
      <c r="J12" s="51"/>
      <c r="K12" s="54">
        <f t="shared" si="4"/>
        <v>7675.48</v>
      </c>
      <c r="L12" s="8">
        <f t="shared" si="14"/>
        <v>0.016889120370370384</v>
      </c>
      <c r="M12" s="55">
        <f t="shared" si="11"/>
        <v>30.785232067510574</v>
      </c>
      <c r="N12" s="56">
        <f t="shared" si="12"/>
        <v>6.032879618172176</v>
      </c>
      <c r="O12" s="89">
        <f t="shared" si="13"/>
        <v>21.3</v>
      </c>
      <c r="P12" s="140">
        <v>0.12430555555555556</v>
      </c>
      <c r="Q12" s="57"/>
      <c r="R12" s="5"/>
      <c r="S12" s="118">
        <f t="shared" si="5"/>
        <v>768.4</v>
      </c>
      <c r="T12" s="53">
        <f t="shared" si="6"/>
        <v>542.1</v>
      </c>
      <c r="U12" s="119">
        <f t="shared" si="7"/>
        <v>434.8</v>
      </c>
      <c r="V12" s="5"/>
      <c r="W12" s="123">
        <f t="shared" si="8"/>
        <v>8.88888888888889</v>
      </c>
      <c r="X12" s="89">
        <f t="shared" si="9"/>
        <v>13.333333333333334</v>
      </c>
      <c r="Y12" s="124">
        <f t="shared" si="10"/>
        <v>21.25</v>
      </c>
    </row>
    <row r="13" spans="2:25" ht="14.25">
      <c r="B13" s="87">
        <v>7</v>
      </c>
      <c r="C13" s="14">
        <v>312</v>
      </c>
      <c r="D13" s="58" t="str">
        <f t="shared" si="0"/>
        <v>はやとり</v>
      </c>
      <c r="E13" s="15">
        <f t="shared" si="1"/>
        <v>8.359</v>
      </c>
      <c r="F13" s="59">
        <v>5</v>
      </c>
      <c r="G13" s="10">
        <v>0.3422337962962963</v>
      </c>
      <c r="H13" s="14">
        <f t="shared" si="2"/>
        <v>29569</v>
      </c>
      <c r="I13" s="144">
        <f t="shared" si="3"/>
        <v>459.1</v>
      </c>
      <c r="J13" s="15"/>
      <c r="K13" s="27">
        <f t="shared" si="4"/>
        <v>7807.66</v>
      </c>
      <c r="L13" s="10">
        <f t="shared" si="14"/>
        <v>0.018418981481481498</v>
      </c>
      <c r="M13" s="60">
        <f t="shared" si="11"/>
        <v>33.57383966244729</v>
      </c>
      <c r="N13" s="61">
        <f t="shared" si="12"/>
        <v>5.770908721972336</v>
      </c>
      <c r="O13" s="90">
        <f t="shared" si="13"/>
        <v>17.5</v>
      </c>
      <c r="P13" s="141">
        <v>0.1388888888888889</v>
      </c>
      <c r="Q13" s="62"/>
      <c r="R13" s="5"/>
      <c r="S13" s="118">
        <f t="shared" si="5"/>
        <v>808.2</v>
      </c>
      <c r="T13" s="53">
        <f t="shared" si="6"/>
        <v>571</v>
      </c>
      <c r="U13" s="119">
        <f t="shared" si="7"/>
        <v>459.1</v>
      </c>
      <c r="V13" s="5"/>
      <c r="W13" s="123">
        <f t="shared" si="8"/>
        <v>6.666666666666667</v>
      </c>
      <c r="X13" s="89">
        <f t="shared" si="9"/>
        <v>10</v>
      </c>
      <c r="Y13" s="124">
        <f t="shared" si="10"/>
        <v>17.5</v>
      </c>
    </row>
    <row r="14" spans="2:25" ht="14.25">
      <c r="B14" s="87">
        <v>8</v>
      </c>
      <c r="C14" s="14">
        <v>5755</v>
      </c>
      <c r="D14" s="58" t="str">
        <f t="shared" si="0"/>
        <v>ランカ</v>
      </c>
      <c r="E14" s="15">
        <f t="shared" si="1"/>
        <v>7.789</v>
      </c>
      <c r="F14" s="59">
        <v>8</v>
      </c>
      <c r="G14" s="10">
        <v>0.35276620370370365</v>
      </c>
      <c r="H14" s="14">
        <f t="shared" si="2"/>
        <v>30478.999999999996</v>
      </c>
      <c r="I14" s="144">
        <f t="shared" si="3"/>
        <v>472.9</v>
      </c>
      <c r="J14" s="15"/>
      <c r="K14" s="27">
        <f t="shared" si="4"/>
        <v>8063.539999999997</v>
      </c>
      <c r="L14" s="10">
        <f t="shared" si="14"/>
        <v>0.02138055555555554</v>
      </c>
      <c r="M14" s="60">
        <f t="shared" si="11"/>
        <v>38.972151898734154</v>
      </c>
      <c r="N14" s="61">
        <f t="shared" si="12"/>
        <v>5.598608878244037</v>
      </c>
      <c r="O14" s="90">
        <f t="shared" si="13"/>
        <v>13.8</v>
      </c>
      <c r="P14" s="141">
        <v>0.14930555555555555</v>
      </c>
      <c r="Q14" s="62"/>
      <c r="R14" s="5"/>
      <c r="S14" s="118">
        <f t="shared" si="5"/>
        <v>830.8</v>
      </c>
      <c r="T14" s="53">
        <f t="shared" si="6"/>
        <v>587.4</v>
      </c>
      <c r="U14" s="119">
        <f t="shared" si="7"/>
        <v>472.9</v>
      </c>
      <c r="V14" s="5"/>
      <c r="W14" s="123">
        <f t="shared" si="8"/>
        <v>4.444444444444445</v>
      </c>
      <c r="X14" s="89">
        <f t="shared" si="9"/>
        <v>6.666666666666667</v>
      </c>
      <c r="Y14" s="124">
        <f t="shared" si="10"/>
        <v>13.75</v>
      </c>
    </row>
    <row r="15" spans="2:25" ht="14.25">
      <c r="B15" s="87">
        <v>9</v>
      </c>
      <c r="C15" s="14">
        <v>4400</v>
      </c>
      <c r="D15" s="58" t="str">
        <f t="shared" si="0"/>
        <v>アイデアル</v>
      </c>
      <c r="E15" s="15">
        <f t="shared" si="1"/>
        <v>7.836</v>
      </c>
      <c r="F15" s="59">
        <v>10</v>
      </c>
      <c r="G15" s="10">
        <v>0.3725347222222222</v>
      </c>
      <c r="H15" s="14">
        <f t="shared" si="2"/>
        <v>32187</v>
      </c>
      <c r="I15" s="144">
        <f t="shared" si="3"/>
        <v>471.7</v>
      </c>
      <c r="J15" s="15"/>
      <c r="K15" s="27">
        <f t="shared" si="4"/>
        <v>9828.420000000002</v>
      </c>
      <c r="L15" s="10">
        <f t="shared" si="14"/>
        <v>0.041807407407407446</v>
      </c>
      <c r="M15" s="60">
        <f t="shared" si="11"/>
        <v>76.20590717299585</v>
      </c>
      <c r="N15" s="61">
        <f t="shared" si="12"/>
        <v>5.301519246900923</v>
      </c>
      <c r="O15" s="90">
        <f>ROUND(IF($O$6="MAX=20",W15,IF($O$6="MAX=30",X15,IF($O$6="MAX=40",Y15,""))),1)</f>
        <v>10</v>
      </c>
      <c r="P15" s="141">
        <v>0.14583333333333334</v>
      </c>
      <c r="Q15" s="62"/>
      <c r="R15" s="5"/>
      <c r="S15" s="118">
        <f t="shared" si="5"/>
        <v>828.9</v>
      </c>
      <c r="T15" s="53">
        <f t="shared" si="6"/>
        <v>585.9</v>
      </c>
      <c r="U15" s="119">
        <f t="shared" si="7"/>
        <v>471.7</v>
      </c>
      <c r="V15" s="5"/>
      <c r="W15" s="123">
        <f t="shared" si="8"/>
        <v>2.2222222222222223</v>
      </c>
      <c r="X15" s="89">
        <f t="shared" si="9"/>
        <v>3.3333333333333335</v>
      </c>
      <c r="Y15" s="124">
        <f t="shared" si="10"/>
        <v>10</v>
      </c>
    </row>
    <row r="16" spans="2:25" ht="14.25">
      <c r="B16" s="88"/>
      <c r="C16" s="16"/>
      <c r="D16" s="63"/>
      <c r="E16" s="17"/>
      <c r="F16" s="64"/>
      <c r="G16" s="12"/>
      <c r="H16" s="16"/>
      <c r="I16" s="96"/>
      <c r="J16" s="17"/>
      <c r="K16" s="28"/>
      <c r="L16" s="12"/>
      <c r="M16" s="65"/>
      <c r="N16" s="66"/>
      <c r="O16" s="91"/>
      <c r="P16" s="142"/>
      <c r="Q16" s="67"/>
      <c r="R16" s="5"/>
      <c r="S16" s="118">
        <f t="shared" si="5"/>
      </c>
      <c r="T16" s="53">
        <f t="shared" si="6"/>
      </c>
      <c r="U16" s="119">
        <f t="shared" si="7"/>
      </c>
      <c r="V16" s="5"/>
      <c r="W16" s="123">
        <f t="shared" si="8"/>
      </c>
      <c r="X16" s="89">
        <f t="shared" si="9"/>
      </c>
      <c r="Y16" s="124">
        <f t="shared" si="10"/>
      </c>
    </row>
    <row r="17" spans="2:25" ht="14.25">
      <c r="B17" s="86"/>
      <c r="C17" s="49"/>
      <c r="D17" s="50">
        <f aca="true" t="shared" si="15" ref="D17:D31">IF(ISBLANK(C17),"",VLOOKUP(C17,各艇データ,2,FALSE))</f>
      </c>
      <c r="E17" s="51">
        <f aca="true" t="shared" si="16" ref="E17:E31">IF(ISBLANK(C17),"",VLOOKUP(C17,各艇データ,3,FALSE))</f>
      </c>
      <c r="F17" s="52"/>
      <c r="G17" s="8"/>
      <c r="H17" s="49">
        <f aca="true" t="shared" si="17" ref="H17:H31">_xlfn.IFERROR(IF(G17-$Q$2&lt;=0,"",(G17-$Q$2)*86400),"")</f>
      </c>
      <c r="I17" s="93">
        <f aca="true" t="shared" si="18" ref="I17:I31">IF($I$6="Ⅰ",S17,IF($I$6="Ⅱ",T17,IF($I$6="Ⅲ",U17,"")))</f>
      </c>
      <c r="J17" s="51"/>
      <c r="K17" s="54">
        <f aca="true" t="shared" si="19" ref="K17:K31">_xlfn.IFERROR(H17*(1+0.01*J17)-I17*$N$3,"")</f>
      </c>
      <c r="L17" s="8">
        <f t="shared" si="14"/>
      </c>
      <c r="M17" s="55">
        <f t="shared" si="11"/>
      </c>
      <c r="N17" s="56">
        <f t="shared" si="12"/>
      </c>
      <c r="O17" s="89"/>
      <c r="P17" s="140"/>
      <c r="Q17" s="57"/>
      <c r="R17" s="5"/>
      <c r="S17" s="118">
        <f t="shared" si="5"/>
      </c>
      <c r="T17" s="53">
        <f t="shared" si="6"/>
      </c>
      <c r="U17" s="119">
        <f t="shared" si="7"/>
      </c>
      <c r="V17" s="5"/>
      <c r="W17" s="123">
        <f t="shared" si="8"/>
      </c>
      <c r="X17" s="89">
        <f t="shared" si="9"/>
      </c>
      <c r="Y17" s="124">
        <f t="shared" si="10"/>
      </c>
    </row>
    <row r="18" spans="2:25" ht="14.25">
      <c r="B18" s="87"/>
      <c r="C18" s="14">
        <v>4280</v>
      </c>
      <c r="D18" s="58" t="s">
        <v>382</v>
      </c>
      <c r="E18" s="15"/>
      <c r="F18" s="59">
        <v>6</v>
      </c>
      <c r="G18" s="10">
        <v>0.342662037037037</v>
      </c>
      <c r="H18" s="14"/>
      <c r="I18" s="144"/>
      <c r="J18" s="15"/>
      <c r="K18" s="27" t="s">
        <v>383</v>
      </c>
      <c r="L18" s="10"/>
      <c r="M18" s="60"/>
      <c r="N18" s="61"/>
      <c r="O18" s="90"/>
      <c r="P18" s="141">
        <v>0.1388888888888889</v>
      </c>
      <c r="Q18" s="62"/>
      <c r="R18" s="5"/>
      <c r="S18" s="118" t="e">
        <f t="shared" si="5"/>
        <v>#N/A</v>
      </c>
      <c r="T18" s="53" t="e">
        <f t="shared" si="6"/>
        <v>#N/A</v>
      </c>
      <c r="U18" s="119" t="e">
        <f t="shared" si="7"/>
        <v>#N/A</v>
      </c>
      <c r="V18" s="5"/>
      <c r="W18" s="123">
        <f t="shared" si="8"/>
      </c>
      <c r="X18" s="89">
        <f t="shared" si="9"/>
      </c>
      <c r="Y18" s="124">
        <f t="shared" si="10"/>
      </c>
    </row>
    <row r="19" spans="2:25" ht="14.25">
      <c r="B19" s="87"/>
      <c r="C19" s="14"/>
      <c r="D19" s="58">
        <f t="shared" si="15"/>
      </c>
      <c r="E19" s="15">
        <f t="shared" si="16"/>
      </c>
      <c r="F19" s="59"/>
      <c r="G19" s="10"/>
      <c r="H19" s="14">
        <f t="shared" si="17"/>
      </c>
      <c r="I19" s="144">
        <f t="shared" si="18"/>
      </c>
      <c r="J19" s="15"/>
      <c r="K19" s="27">
        <f t="shared" si="19"/>
      </c>
      <c r="L19" s="10">
        <f t="shared" si="14"/>
      </c>
      <c r="M19" s="60">
        <f t="shared" si="11"/>
      </c>
      <c r="N19" s="61">
        <f t="shared" si="12"/>
      </c>
      <c r="O19" s="90"/>
      <c r="P19" s="141"/>
      <c r="Q19" s="62"/>
      <c r="R19" s="5"/>
      <c r="S19" s="118">
        <f t="shared" si="5"/>
      </c>
      <c r="T19" s="53">
        <f t="shared" si="6"/>
      </c>
      <c r="U19" s="119">
        <f t="shared" si="7"/>
      </c>
      <c r="V19" s="5"/>
      <c r="W19" s="123">
        <f t="shared" si="8"/>
      </c>
      <c r="X19" s="89">
        <f t="shared" si="9"/>
      </c>
      <c r="Y19" s="124">
        <f t="shared" si="10"/>
      </c>
    </row>
    <row r="20" spans="2:25" ht="14.25">
      <c r="B20" s="87"/>
      <c r="C20" s="14">
        <v>131</v>
      </c>
      <c r="D20" s="58" t="str">
        <f t="shared" si="15"/>
        <v>ふるたか</v>
      </c>
      <c r="E20" s="15">
        <f t="shared" si="16"/>
        <v>8.317</v>
      </c>
      <c r="F20" s="59"/>
      <c r="G20" s="10"/>
      <c r="H20" s="14">
        <f t="shared" si="17"/>
      </c>
      <c r="I20" s="144"/>
      <c r="J20" s="15"/>
      <c r="K20" s="27">
        <f t="shared" si="19"/>
      </c>
      <c r="L20" s="10">
        <f t="shared" si="14"/>
      </c>
      <c r="M20" s="60">
        <f t="shared" si="11"/>
      </c>
      <c r="N20" s="61">
        <f t="shared" si="12"/>
      </c>
      <c r="O20" s="90">
        <v>20</v>
      </c>
      <c r="P20" s="315" t="s">
        <v>387</v>
      </c>
      <c r="Q20" s="62"/>
      <c r="R20" s="5"/>
      <c r="S20" s="118">
        <f t="shared" si="5"/>
        <v>809.8</v>
      </c>
      <c r="T20" s="53">
        <f t="shared" si="6"/>
        <v>572.1</v>
      </c>
      <c r="U20" s="119">
        <f t="shared" si="7"/>
        <v>460.1</v>
      </c>
      <c r="V20" s="5"/>
      <c r="W20" s="123">
        <f t="shared" si="8"/>
      </c>
      <c r="X20" s="89">
        <f t="shared" si="9"/>
      </c>
      <c r="Y20" s="124">
        <f t="shared" si="10"/>
      </c>
    </row>
    <row r="21" spans="2:25" ht="14.25">
      <c r="B21" s="88"/>
      <c r="C21" s="16"/>
      <c r="D21" s="63">
        <f t="shared" si="15"/>
      </c>
      <c r="E21" s="17">
        <f t="shared" si="16"/>
      </c>
      <c r="F21" s="64"/>
      <c r="G21" s="12"/>
      <c r="H21" s="152">
        <f t="shared" si="17"/>
      </c>
      <c r="I21" s="159">
        <f t="shared" si="18"/>
      </c>
      <c r="J21" s="153"/>
      <c r="K21" s="154">
        <f t="shared" si="19"/>
      </c>
      <c r="L21" s="155">
        <f t="shared" si="14"/>
      </c>
      <c r="M21" s="156">
        <f t="shared" si="11"/>
      </c>
      <c r="N21" s="157">
        <f t="shared" si="12"/>
      </c>
      <c r="O21" s="158"/>
      <c r="P21" s="316"/>
      <c r="Q21" s="67"/>
      <c r="R21" s="5"/>
      <c r="S21" s="118">
        <f t="shared" si="5"/>
      </c>
      <c r="T21" s="53">
        <f t="shared" si="6"/>
      </c>
      <c r="U21" s="119">
        <f t="shared" si="7"/>
      </c>
      <c r="V21" s="5"/>
      <c r="W21" s="123">
        <f t="shared" si="8"/>
      </c>
      <c r="X21" s="89">
        <f t="shared" si="9"/>
      </c>
      <c r="Y21" s="124">
        <f t="shared" si="10"/>
      </c>
    </row>
    <row r="22" spans="2:25" ht="14.25">
      <c r="B22" s="98"/>
      <c r="C22" s="18"/>
      <c r="D22" s="50">
        <f t="shared" si="15"/>
      </c>
      <c r="E22" s="51">
        <f t="shared" si="16"/>
      </c>
      <c r="F22" s="99"/>
      <c r="G22" s="13"/>
      <c r="H22" s="49">
        <f t="shared" si="17"/>
      </c>
      <c r="I22" s="93">
        <f t="shared" si="18"/>
      </c>
      <c r="J22" s="51"/>
      <c r="K22" s="54">
        <f t="shared" si="19"/>
      </c>
      <c r="L22" s="8">
        <f t="shared" si="14"/>
      </c>
      <c r="M22" s="55">
        <f t="shared" si="11"/>
      </c>
      <c r="N22" s="56">
        <f t="shared" si="12"/>
      </c>
      <c r="O22" s="89"/>
      <c r="P22" s="317"/>
      <c r="Q22" s="102"/>
      <c r="R22" s="5"/>
      <c r="S22" s="118">
        <f t="shared" si="5"/>
      </c>
      <c r="T22" s="53">
        <f t="shared" si="6"/>
      </c>
      <c r="U22" s="119">
        <f t="shared" si="7"/>
      </c>
      <c r="V22" s="5"/>
      <c r="W22" s="123">
        <f t="shared" si="8"/>
      </c>
      <c r="X22" s="89">
        <f t="shared" si="9"/>
      </c>
      <c r="Y22" s="124">
        <f t="shared" si="10"/>
      </c>
    </row>
    <row r="23" spans="2:25" ht="14.25">
      <c r="B23" s="87"/>
      <c r="C23" s="14"/>
      <c r="D23" s="58">
        <f t="shared" si="15"/>
      </c>
      <c r="E23" s="15">
        <f t="shared" si="16"/>
      </c>
      <c r="F23" s="59"/>
      <c r="G23" s="10"/>
      <c r="H23" s="14">
        <f t="shared" si="17"/>
      </c>
      <c r="I23" s="144"/>
      <c r="J23" s="15"/>
      <c r="K23" s="27">
        <f t="shared" si="19"/>
      </c>
      <c r="L23" s="10">
        <f t="shared" si="14"/>
      </c>
      <c r="M23" s="60">
        <f t="shared" si="11"/>
      </c>
      <c r="N23" s="61">
        <f t="shared" si="12"/>
      </c>
      <c r="O23" s="90"/>
      <c r="P23" s="315"/>
      <c r="Q23" s="62"/>
      <c r="R23" s="5"/>
      <c r="S23" s="118">
        <f t="shared" si="5"/>
      </c>
      <c r="T23" s="53">
        <f t="shared" si="6"/>
      </c>
      <c r="U23" s="119">
        <f t="shared" si="7"/>
      </c>
      <c r="V23" s="5"/>
      <c r="W23" s="123">
        <f t="shared" si="8"/>
      </c>
      <c r="X23" s="89">
        <f t="shared" si="9"/>
      </c>
      <c r="Y23" s="124">
        <f t="shared" si="10"/>
      </c>
    </row>
    <row r="24" spans="2:25" ht="14.25">
      <c r="B24" s="87"/>
      <c r="C24" s="14"/>
      <c r="D24" s="58">
        <f t="shared" si="15"/>
      </c>
      <c r="E24" s="15">
        <f t="shared" si="16"/>
      </c>
      <c r="F24" s="59"/>
      <c r="G24" s="10"/>
      <c r="H24" s="14">
        <f t="shared" si="17"/>
      </c>
      <c r="I24" s="144"/>
      <c r="J24" s="15"/>
      <c r="K24" s="27">
        <f t="shared" si="19"/>
      </c>
      <c r="L24" s="10">
        <f t="shared" si="14"/>
      </c>
      <c r="M24" s="60">
        <f t="shared" si="11"/>
      </c>
      <c r="N24" s="61">
        <f t="shared" si="12"/>
      </c>
      <c r="O24" s="90"/>
      <c r="P24" s="315"/>
      <c r="Q24" s="62"/>
      <c r="R24" s="5"/>
      <c r="S24" s="118">
        <f t="shared" si="5"/>
      </c>
      <c r="T24" s="53">
        <f t="shared" si="6"/>
      </c>
      <c r="U24" s="119">
        <f t="shared" si="7"/>
      </c>
      <c r="V24" s="5"/>
      <c r="W24" s="123">
        <f t="shared" si="8"/>
      </c>
      <c r="X24" s="89">
        <f t="shared" si="9"/>
      </c>
      <c r="Y24" s="124">
        <f t="shared" si="10"/>
      </c>
    </row>
    <row r="25" spans="2:25" ht="14.25">
      <c r="B25" s="87"/>
      <c r="C25" s="14"/>
      <c r="D25" s="58">
        <f t="shared" si="15"/>
      </c>
      <c r="E25" s="15">
        <f t="shared" si="16"/>
      </c>
      <c r="F25" s="59"/>
      <c r="G25" s="10"/>
      <c r="H25" s="14">
        <f t="shared" si="17"/>
      </c>
      <c r="I25" s="144"/>
      <c r="J25" s="15"/>
      <c r="K25" s="27">
        <f t="shared" si="19"/>
      </c>
      <c r="L25" s="10">
        <f t="shared" si="14"/>
      </c>
      <c r="M25" s="60">
        <f t="shared" si="11"/>
      </c>
      <c r="N25" s="61">
        <f t="shared" si="12"/>
      </c>
      <c r="O25" s="90"/>
      <c r="P25" s="141"/>
      <c r="Q25" s="62"/>
      <c r="R25" s="5"/>
      <c r="S25" s="118">
        <f t="shared" si="5"/>
      </c>
      <c r="T25" s="53">
        <f t="shared" si="6"/>
      </c>
      <c r="U25" s="119">
        <f t="shared" si="7"/>
      </c>
      <c r="V25" s="5"/>
      <c r="W25" s="123">
        <f t="shared" si="8"/>
      </c>
      <c r="X25" s="89">
        <f t="shared" si="9"/>
      </c>
      <c r="Y25" s="124">
        <f t="shared" si="10"/>
      </c>
    </row>
    <row r="26" spans="2:25" ht="14.25">
      <c r="B26" s="88"/>
      <c r="C26" s="16"/>
      <c r="D26" s="63">
        <f t="shared" si="15"/>
      </c>
      <c r="E26" s="17">
        <f t="shared" si="16"/>
      </c>
      <c r="F26" s="64"/>
      <c r="G26" s="12"/>
      <c r="H26" s="16">
        <f t="shared" si="17"/>
      </c>
      <c r="I26" s="96">
        <f t="shared" si="18"/>
      </c>
      <c r="J26" s="17"/>
      <c r="K26" s="28">
        <f t="shared" si="19"/>
      </c>
      <c r="L26" s="12">
        <f t="shared" si="14"/>
      </c>
      <c r="M26" s="65">
        <f t="shared" si="11"/>
      </c>
      <c r="N26" s="66">
        <f t="shared" si="12"/>
      </c>
      <c r="O26" s="91">
        <f aca="true" t="shared" si="20" ref="O26:O31">IF($O$6="MAX=20",W26,IF($O$6="MAX=30",X26,IF($O$6="MAX=40",Y26,"")))</f>
      </c>
      <c r="P26" s="142"/>
      <c r="Q26" s="67"/>
      <c r="R26" s="5"/>
      <c r="S26" s="118">
        <f t="shared" si="5"/>
      </c>
      <c r="T26" s="53">
        <f t="shared" si="6"/>
      </c>
      <c r="U26" s="119">
        <f t="shared" si="7"/>
      </c>
      <c r="V26" s="5"/>
      <c r="W26" s="123">
        <f t="shared" si="8"/>
      </c>
      <c r="X26" s="89">
        <f t="shared" si="9"/>
      </c>
      <c r="Y26" s="124">
        <f t="shared" si="10"/>
      </c>
    </row>
    <row r="27" spans="2:25" ht="14.25">
      <c r="B27" s="98"/>
      <c r="C27" s="18"/>
      <c r="D27" s="145">
        <f t="shared" si="15"/>
      </c>
      <c r="E27" s="146">
        <f t="shared" si="16"/>
      </c>
      <c r="F27" s="99"/>
      <c r="G27" s="13"/>
      <c r="H27" s="18">
        <f t="shared" si="17"/>
      </c>
      <c r="I27" s="160">
        <f t="shared" si="18"/>
      </c>
      <c r="J27" s="146"/>
      <c r="K27" s="147">
        <f t="shared" si="19"/>
      </c>
      <c r="L27" s="13">
        <f t="shared" si="14"/>
      </c>
      <c r="M27" s="100">
        <f t="shared" si="11"/>
      </c>
      <c r="N27" s="101">
        <f t="shared" si="12"/>
      </c>
      <c r="O27" s="148">
        <f t="shared" si="20"/>
      </c>
      <c r="P27" s="143"/>
      <c r="Q27" s="102"/>
      <c r="R27" s="5"/>
      <c r="S27" s="118">
        <f t="shared" si="5"/>
      </c>
      <c r="T27" s="53">
        <f t="shared" si="6"/>
      </c>
      <c r="U27" s="119">
        <f t="shared" si="7"/>
      </c>
      <c r="V27" s="5"/>
      <c r="W27" s="123">
        <f t="shared" si="8"/>
      </c>
      <c r="X27" s="89">
        <f t="shared" si="9"/>
      </c>
      <c r="Y27" s="124">
        <f t="shared" si="10"/>
      </c>
    </row>
    <row r="28" spans="2:25" ht="14.25">
      <c r="B28" s="87"/>
      <c r="C28" s="14"/>
      <c r="D28" s="58">
        <f t="shared" si="15"/>
      </c>
      <c r="E28" s="15">
        <f t="shared" si="16"/>
      </c>
      <c r="F28" s="59"/>
      <c r="G28" s="10"/>
      <c r="H28" s="14">
        <f t="shared" si="17"/>
      </c>
      <c r="I28" s="144">
        <f t="shared" si="18"/>
      </c>
      <c r="J28" s="15"/>
      <c r="K28" s="27">
        <f t="shared" si="19"/>
      </c>
      <c r="L28" s="10">
        <f t="shared" si="14"/>
      </c>
      <c r="M28" s="60">
        <f t="shared" si="11"/>
      </c>
      <c r="N28" s="61">
        <f t="shared" si="12"/>
      </c>
      <c r="O28" s="90">
        <f t="shared" si="20"/>
      </c>
      <c r="P28" s="141"/>
      <c r="Q28" s="62"/>
      <c r="R28" s="5"/>
      <c r="S28" s="118">
        <f t="shared" si="5"/>
      </c>
      <c r="T28" s="53">
        <f t="shared" si="6"/>
      </c>
      <c r="U28" s="119">
        <f t="shared" si="7"/>
      </c>
      <c r="V28" s="5"/>
      <c r="W28" s="123">
        <f t="shared" si="8"/>
      </c>
      <c r="X28" s="89">
        <f t="shared" si="9"/>
      </c>
      <c r="Y28" s="124">
        <f t="shared" si="10"/>
      </c>
    </row>
    <row r="29" spans="2:25" ht="14.25">
      <c r="B29" s="87"/>
      <c r="C29" s="14"/>
      <c r="D29" s="58">
        <f t="shared" si="15"/>
      </c>
      <c r="E29" s="15">
        <f t="shared" si="16"/>
      </c>
      <c r="F29" s="59"/>
      <c r="G29" s="10"/>
      <c r="H29" s="14">
        <f t="shared" si="17"/>
      </c>
      <c r="I29" s="144">
        <f t="shared" si="18"/>
      </c>
      <c r="J29" s="15"/>
      <c r="K29" s="27">
        <f t="shared" si="19"/>
      </c>
      <c r="L29" s="10">
        <f t="shared" si="14"/>
      </c>
      <c r="M29" s="60">
        <f t="shared" si="11"/>
      </c>
      <c r="N29" s="61">
        <f t="shared" si="12"/>
      </c>
      <c r="O29" s="90">
        <f t="shared" si="20"/>
      </c>
      <c r="P29" s="141"/>
      <c r="Q29" s="62"/>
      <c r="R29" s="5"/>
      <c r="S29" s="118">
        <f t="shared" si="5"/>
      </c>
      <c r="T29" s="53">
        <f>IF(ISBLANK(C29),"",VLOOKUP(C29,各艇データ,5,FALSE))</f>
      </c>
      <c r="U29" s="119">
        <f t="shared" si="7"/>
      </c>
      <c r="V29" s="5"/>
      <c r="W29" s="123">
        <f t="shared" si="8"/>
      </c>
      <c r="X29" s="89">
        <f t="shared" si="9"/>
      </c>
      <c r="Y29" s="124">
        <f t="shared" si="10"/>
      </c>
    </row>
    <row r="30" spans="2:25" ht="14.25">
      <c r="B30" s="87"/>
      <c r="C30" s="14"/>
      <c r="D30" s="58">
        <f t="shared" si="15"/>
      </c>
      <c r="E30" s="15">
        <f t="shared" si="16"/>
      </c>
      <c r="F30" s="59"/>
      <c r="G30" s="10"/>
      <c r="H30" s="14">
        <f t="shared" si="17"/>
      </c>
      <c r="I30" s="144">
        <f t="shared" si="18"/>
      </c>
      <c r="J30" s="15"/>
      <c r="K30" s="27">
        <f t="shared" si="19"/>
      </c>
      <c r="L30" s="10">
        <f t="shared" si="14"/>
      </c>
      <c r="M30" s="60">
        <f t="shared" si="11"/>
      </c>
      <c r="N30" s="61">
        <f t="shared" si="12"/>
      </c>
      <c r="O30" s="90">
        <f t="shared" si="20"/>
      </c>
      <c r="P30" s="141"/>
      <c r="Q30" s="62"/>
      <c r="R30" s="5"/>
      <c r="S30" s="118">
        <f t="shared" si="5"/>
      </c>
      <c r="T30" s="53">
        <f t="shared" si="6"/>
      </c>
      <c r="U30" s="119">
        <f t="shared" si="7"/>
      </c>
      <c r="V30" s="5"/>
      <c r="W30" s="123">
        <f t="shared" si="8"/>
      </c>
      <c r="X30" s="89">
        <f t="shared" si="9"/>
      </c>
      <c r="Y30" s="124">
        <f t="shared" si="10"/>
      </c>
    </row>
    <row r="31" spans="2:25" ht="15" thickBot="1">
      <c r="B31" s="87"/>
      <c r="C31" s="14"/>
      <c r="D31" s="63">
        <f t="shared" si="15"/>
      </c>
      <c r="E31" s="17">
        <f t="shared" si="16"/>
      </c>
      <c r="F31" s="59"/>
      <c r="G31" s="10"/>
      <c r="H31" s="16">
        <f t="shared" si="17"/>
      </c>
      <c r="I31" s="96">
        <f t="shared" si="18"/>
      </c>
      <c r="J31" s="17"/>
      <c r="K31" s="28">
        <f t="shared" si="19"/>
      </c>
      <c r="L31" s="12">
        <f t="shared" si="14"/>
      </c>
      <c r="M31" s="65">
        <f t="shared" si="11"/>
      </c>
      <c r="N31" s="66">
        <f t="shared" si="12"/>
      </c>
      <c r="O31" s="91">
        <f t="shared" si="20"/>
      </c>
      <c r="P31" s="141"/>
      <c r="Q31" s="62"/>
      <c r="R31" s="5"/>
      <c r="S31" s="120">
        <f t="shared" si="5"/>
      </c>
      <c r="T31" s="121">
        <f t="shared" si="6"/>
      </c>
      <c r="U31" s="122">
        <f t="shared" si="7"/>
      </c>
      <c r="V31" s="5"/>
      <c r="W31" s="125">
        <f t="shared" si="8"/>
      </c>
      <c r="X31" s="126">
        <f t="shared" si="9"/>
      </c>
      <c r="Y31" s="68">
        <f t="shared" si="10"/>
      </c>
    </row>
    <row r="32" spans="2:22" ht="15" customHeight="1">
      <c r="B32" s="401" t="s">
        <v>78</v>
      </c>
      <c r="C32" s="402"/>
      <c r="D32" s="403"/>
      <c r="E32" s="367" t="s">
        <v>306</v>
      </c>
      <c r="F32" s="460" t="s">
        <v>386</v>
      </c>
      <c r="G32" s="461"/>
      <c r="H32" s="462" t="s">
        <v>399</v>
      </c>
      <c r="I32" s="463"/>
      <c r="J32" s="463"/>
      <c r="K32" s="463"/>
      <c r="L32" s="463"/>
      <c r="M32" s="463"/>
      <c r="N32" s="463"/>
      <c r="O32" s="463"/>
      <c r="P32" s="463"/>
      <c r="Q32" s="464"/>
      <c r="R32" s="1"/>
      <c r="T32" s="29"/>
      <c r="U32" s="1"/>
      <c r="V32" s="1"/>
    </row>
    <row r="33" spans="2:22" ht="15">
      <c r="B33" s="404"/>
      <c r="C33" s="405"/>
      <c r="D33" s="406"/>
      <c r="E33" s="368" t="s">
        <v>307</v>
      </c>
      <c r="F33" s="435" t="s">
        <v>385</v>
      </c>
      <c r="G33" s="436"/>
      <c r="H33" s="465"/>
      <c r="I33" s="466"/>
      <c r="J33" s="466"/>
      <c r="K33" s="466"/>
      <c r="L33" s="466"/>
      <c r="M33" s="466"/>
      <c r="N33" s="466"/>
      <c r="O33" s="466"/>
      <c r="P33" s="466"/>
      <c r="Q33" s="467"/>
      <c r="R33" s="1"/>
      <c r="U33" s="1"/>
      <c r="V33" s="1"/>
    </row>
    <row r="34" spans="2:22" ht="23.25" customHeight="1">
      <c r="B34" s="407"/>
      <c r="C34" s="408"/>
      <c r="D34" s="409"/>
      <c r="E34" s="368" t="s">
        <v>308</v>
      </c>
      <c r="F34" s="435" t="s">
        <v>384</v>
      </c>
      <c r="G34" s="436"/>
      <c r="H34" s="465"/>
      <c r="I34" s="466"/>
      <c r="J34" s="466"/>
      <c r="K34" s="466"/>
      <c r="L34" s="466"/>
      <c r="M34" s="466"/>
      <c r="N34" s="466"/>
      <c r="O34" s="466"/>
      <c r="P34" s="466"/>
      <c r="Q34" s="467"/>
      <c r="R34" s="1"/>
      <c r="U34" s="1"/>
      <c r="V34" s="1"/>
    </row>
    <row r="35" spans="2:22" ht="22.5" customHeight="1">
      <c r="B35" s="419" t="s">
        <v>79</v>
      </c>
      <c r="C35" s="420"/>
      <c r="D35" s="421"/>
      <c r="E35" s="429" t="s">
        <v>311</v>
      </c>
      <c r="F35" s="395" t="str">
        <f>'参照ﾃﾞｰﾀ'!AI8</f>
        <v>ふるたか</v>
      </c>
      <c r="G35" s="396"/>
      <c r="H35" s="465"/>
      <c r="I35" s="466"/>
      <c r="J35" s="466"/>
      <c r="K35" s="466"/>
      <c r="L35" s="466"/>
      <c r="M35" s="466"/>
      <c r="N35" s="466"/>
      <c r="O35" s="466"/>
      <c r="P35" s="466"/>
      <c r="Q35" s="467"/>
      <c r="R35" s="1"/>
      <c r="U35" s="1"/>
      <c r="V35" s="1"/>
    </row>
    <row r="36" spans="2:22" ht="15" customHeight="1">
      <c r="B36" s="422"/>
      <c r="C36" s="423"/>
      <c r="D36" s="424"/>
      <c r="E36" s="430"/>
      <c r="F36" s="431"/>
      <c r="G36" s="432"/>
      <c r="H36" s="465"/>
      <c r="I36" s="466"/>
      <c r="J36" s="466"/>
      <c r="K36" s="466"/>
      <c r="L36" s="466"/>
      <c r="M36" s="466"/>
      <c r="N36" s="466"/>
      <c r="O36" s="466"/>
      <c r="P36" s="466"/>
      <c r="Q36" s="467"/>
      <c r="R36" s="1"/>
      <c r="U36" s="1"/>
      <c r="V36" s="1"/>
    </row>
    <row r="37" spans="2:22" ht="15" customHeight="1">
      <c r="B37" s="422"/>
      <c r="C37" s="423"/>
      <c r="D37" s="424"/>
      <c r="E37" s="367" t="s">
        <v>309</v>
      </c>
      <c r="F37" s="397">
        <f>'参照ﾃﾞｰﾀ'!R9</f>
        <v>42540</v>
      </c>
      <c r="G37" s="398"/>
      <c r="H37" s="465"/>
      <c r="I37" s="466"/>
      <c r="J37" s="466"/>
      <c r="K37" s="466"/>
      <c r="L37" s="466"/>
      <c r="M37" s="466"/>
      <c r="N37" s="466"/>
      <c r="O37" s="466"/>
      <c r="P37" s="466"/>
      <c r="Q37" s="467"/>
      <c r="R37" s="1"/>
      <c r="U37" s="1"/>
      <c r="V37" s="1"/>
    </row>
    <row r="38" spans="2:22" ht="15">
      <c r="B38" s="422"/>
      <c r="C38" s="423"/>
      <c r="D38" s="424"/>
      <c r="E38" s="368" t="s">
        <v>325</v>
      </c>
      <c r="F38" s="395" t="str">
        <f>'参照ﾃﾞｰﾀ'!AH9</f>
        <v>E</v>
      </c>
      <c r="G38" s="396"/>
      <c r="H38" s="465"/>
      <c r="I38" s="466"/>
      <c r="J38" s="466"/>
      <c r="K38" s="466"/>
      <c r="L38" s="466"/>
      <c r="M38" s="466"/>
      <c r="N38" s="466"/>
      <c r="O38" s="466"/>
      <c r="P38" s="466"/>
      <c r="Q38" s="467"/>
      <c r="R38" s="1"/>
      <c r="U38" s="1"/>
      <c r="V38" s="1"/>
    </row>
    <row r="39" spans="2:22" ht="15">
      <c r="B39" s="422"/>
      <c r="C39" s="423"/>
      <c r="D39" s="424"/>
      <c r="E39" s="368" t="s">
        <v>310</v>
      </c>
      <c r="F39" s="395" t="str">
        <f>'参照ﾃﾞｰﾀ'!AI9</f>
        <v>アイデアル</v>
      </c>
      <c r="G39" s="396"/>
      <c r="H39" s="465"/>
      <c r="I39" s="466"/>
      <c r="J39" s="466"/>
      <c r="K39" s="466"/>
      <c r="L39" s="466"/>
      <c r="M39" s="466"/>
      <c r="N39" s="466"/>
      <c r="O39" s="466"/>
      <c r="P39" s="466"/>
      <c r="Q39" s="467"/>
      <c r="R39" s="1"/>
      <c r="U39" s="1"/>
      <c r="V39" s="1"/>
    </row>
    <row r="40" spans="2:22" ht="15">
      <c r="B40" s="422"/>
      <c r="C40" s="423"/>
      <c r="D40" s="424"/>
      <c r="E40" s="368"/>
      <c r="F40" s="395"/>
      <c r="G40" s="396"/>
      <c r="H40" s="465"/>
      <c r="I40" s="466"/>
      <c r="J40" s="466"/>
      <c r="K40" s="466"/>
      <c r="L40" s="466"/>
      <c r="M40" s="466"/>
      <c r="N40" s="466"/>
      <c r="O40" s="466"/>
      <c r="P40" s="466"/>
      <c r="Q40" s="467"/>
      <c r="R40" s="1"/>
      <c r="U40" s="1"/>
      <c r="V40" s="1"/>
    </row>
    <row r="41" spans="2:22" ht="11.25" customHeight="1" thickBot="1">
      <c r="B41" s="425"/>
      <c r="C41" s="426"/>
      <c r="D41" s="427"/>
      <c r="E41" s="369"/>
      <c r="F41" s="433"/>
      <c r="G41" s="434"/>
      <c r="H41" s="468"/>
      <c r="I41" s="469"/>
      <c r="J41" s="469"/>
      <c r="K41" s="469"/>
      <c r="L41" s="469"/>
      <c r="M41" s="469"/>
      <c r="N41" s="469"/>
      <c r="O41" s="469"/>
      <c r="P41" s="469"/>
      <c r="Q41" s="470"/>
      <c r="R41" s="1"/>
      <c r="S41" s="1"/>
      <c r="T41" s="1"/>
      <c r="U41" s="1"/>
      <c r="V41" s="1"/>
    </row>
  </sheetData>
  <sheetProtection password="EDAE" sheet="1"/>
  <mergeCells count="18">
    <mergeCell ref="J3:K3"/>
    <mergeCell ref="P5:Q5"/>
    <mergeCell ref="B32:D34"/>
    <mergeCell ref="H32:Q41"/>
    <mergeCell ref="B35:D41"/>
    <mergeCell ref="F32:G32"/>
    <mergeCell ref="E35:E36"/>
    <mergeCell ref="F35:G35"/>
    <mergeCell ref="F36:G36"/>
    <mergeCell ref="F37:G37"/>
    <mergeCell ref="D2:F2"/>
    <mergeCell ref="E3:I3"/>
    <mergeCell ref="F38:G38"/>
    <mergeCell ref="F39:G39"/>
    <mergeCell ref="F40:G40"/>
    <mergeCell ref="F41:G41"/>
    <mergeCell ref="F33:G33"/>
    <mergeCell ref="F34:G34"/>
  </mergeCells>
  <dataValidations count="8">
    <dataValidation type="list" allowBlank="1" showInputMessage="1" showErrorMessage="1" sqref="P2">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rintOptions/>
  <pageMargins left="0.31496062992125984" right="0" top="0.3543307086614173" bottom="0.1968503937007874" header="0" footer="0"/>
  <pageSetup orientation="landscape" paperSize="9" r:id="rId1"/>
</worksheet>
</file>

<file path=xl/worksheets/sheet6.xml><?xml version="1.0" encoding="utf-8"?>
<worksheet xmlns="http://schemas.openxmlformats.org/spreadsheetml/2006/main" xmlns:r="http://schemas.openxmlformats.org/officeDocument/2006/relationships">
  <dimension ref="B2:AA41"/>
  <sheetViews>
    <sheetView tabSelected="1" zoomScale="85" zoomScaleNormal="85" zoomScalePageLayoutView="0" workbookViewId="0" topLeftCell="A1">
      <selection activeCell="T39" sqref="T39"/>
    </sheetView>
  </sheetViews>
  <sheetFormatPr defaultColWidth="9.140625" defaultRowHeight="15"/>
  <cols>
    <col min="1" max="1" width="1.7109375" style="0" customWidth="1"/>
    <col min="2" max="2" width="5.00390625" style="0" customWidth="1"/>
    <col min="3" max="3" width="7.00390625" style="0" customWidth="1"/>
    <col min="4" max="4" width="18.00390625" style="0" customWidth="1"/>
    <col min="5" max="5" width="9.140625" style="0" customWidth="1"/>
    <col min="6" max="6" width="5.00390625" style="0" customWidth="1"/>
    <col min="7" max="7" width="10.8515625" style="0" customWidth="1"/>
    <col min="8" max="8" width="8.421875" style="0" customWidth="1"/>
    <col min="9" max="9" width="7.57421875" style="0" customWidth="1"/>
    <col min="10" max="10" width="5.00390625" style="0" customWidth="1"/>
    <col min="11" max="11" width="8.421875" style="0" customWidth="1"/>
    <col min="12" max="12" width="10.8515625" style="0" customWidth="1"/>
    <col min="13" max="13" width="9.28125" style="0" customWidth="1"/>
    <col min="14" max="14" width="7.8515625" style="0" customWidth="1"/>
    <col min="15" max="15" width="8.00390625" style="0" customWidth="1"/>
    <col min="16" max="16" width="11.28125" style="0" customWidth="1"/>
    <col min="17" max="17" width="12.28125" style="0" customWidth="1"/>
    <col min="18" max="18" width="4.8515625" style="0" customWidth="1"/>
    <col min="19" max="19" width="7.7109375" style="0" customWidth="1"/>
    <col min="20" max="21" width="7.57421875" style="0" customWidth="1"/>
    <col min="22" max="22" width="4.421875" style="0" customWidth="1"/>
    <col min="23" max="25" width="8.00390625" style="0" customWidth="1"/>
    <col min="27" max="27" width="13.57421875" style="0" customWidth="1"/>
  </cols>
  <sheetData>
    <row r="1" ht="9.75" customHeight="1" thickBot="1"/>
    <row r="2" spans="2:22" ht="21">
      <c r="B2" s="1"/>
      <c r="C2" s="2"/>
      <c r="D2" s="392" t="str">
        <f>'参照ﾃﾞｰﾀ'!N4</f>
        <v>2016年</v>
      </c>
      <c r="E2" s="392"/>
      <c r="F2" s="392"/>
      <c r="G2" s="95" t="s">
        <v>316</v>
      </c>
      <c r="H2" s="38"/>
      <c r="I2" s="3"/>
      <c r="J2" s="1"/>
      <c r="K2" s="26"/>
      <c r="L2" s="1"/>
      <c r="M2" s="78" t="s">
        <v>65</v>
      </c>
      <c r="N2" s="79" t="s">
        <v>93</v>
      </c>
      <c r="O2" s="80" t="s">
        <v>68</v>
      </c>
      <c r="P2" s="132">
        <v>42540</v>
      </c>
      <c r="Q2" s="114">
        <v>0.4375</v>
      </c>
      <c r="R2" s="1"/>
      <c r="S2" s="1"/>
      <c r="T2" s="1"/>
      <c r="U2" s="1"/>
      <c r="V2" s="1"/>
    </row>
    <row r="3" spans="2:23" ht="21.75" customHeight="1" thickBot="1">
      <c r="B3" s="1"/>
      <c r="D3" s="162" t="s">
        <v>217</v>
      </c>
      <c r="E3" s="393" t="s">
        <v>82</v>
      </c>
      <c r="F3" s="393"/>
      <c r="G3" s="393"/>
      <c r="H3" s="393"/>
      <c r="I3" s="393"/>
      <c r="J3" s="394" t="s">
        <v>105</v>
      </c>
      <c r="K3" s="394"/>
      <c r="L3" s="4"/>
      <c r="M3" s="137" t="s">
        <v>404</v>
      </c>
      <c r="N3" s="139">
        <f>IF(ISBLANK(N2),"",VLOOKUP(N2,コース・距離,2,FALSE))</f>
        <v>11.3</v>
      </c>
      <c r="O3" s="81" t="s">
        <v>0</v>
      </c>
      <c r="P3" s="82">
        <v>18</v>
      </c>
      <c r="Q3" s="83" t="s">
        <v>1</v>
      </c>
      <c r="R3" s="1"/>
      <c r="S3" s="112" t="s">
        <v>2</v>
      </c>
      <c r="T3" s="69"/>
      <c r="U3" s="69"/>
      <c r="V3" s="1"/>
      <c r="W3" s="127" t="s">
        <v>95</v>
      </c>
    </row>
    <row r="4" spans="2:22" ht="7.5" customHeight="1" thickBot="1">
      <c r="B4" s="1"/>
      <c r="C4" s="1"/>
      <c r="D4" s="1"/>
      <c r="E4" s="1"/>
      <c r="F4" s="1"/>
      <c r="G4" s="1"/>
      <c r="H4" s="1"/>
      <c r="I4" s="1"/>
      <c r="J4" s="1"/>
      <c r="K4" s="1"/>
      <c r="L4" s="1"/>
      <c r="M4" s="1"/>
      <c r="N4" s="1"/>
      <c r="O4" s="1"/>
      <c r="P4" s="1"/>
      <c r="Q4" s="1"/>
      <c r="R4" s="1"/>
      <c r="S4" s="70"/>
      <c r="T4" s="69"/>
      <c r="U4" s="69"/>
      <c r="V4" s="1"/>
    </row>
    <row r="5" spans="2:25" ht="14.25">
      <c r="B5" s="97" t="s">
        <v>3</v>
      </c>
      <c r="C5" s="76" t="s">
        <v>4</v>
      </c>
      <c r="D5" s="76" t="s">
        <v>5</v>
      </c>
      <c r="E5" s="76" t="s">
        <v>6</v>
      </c>
      <c r="F5" s="76" t="s">
        <v>7</v>
      </c>
      <c r="G5" s="76" t="s">
        <v>8</v>
      </c>
      <c r="H5" s="76" t="s">
        <v>9</v>
      </c>
      <c r="I5" s="76" t="s">
        <v>10</v>
      </c>
      <c r="J5" s="76" t="s">
        <v>11</v>
      </c>
      <c r="K5" s="76" t="s">
        <v>12</v>
      </c>
      <c r="L5" s="77" t="s">
        <v>72</v>
      </c>
      <c r="M5" s="77" t="s">
        <v>73</v>
      </c>
      <c r="N5" s="76" t="s">
        <v>90</v>
      </c>
      <c r="O5" s="76" t="s">
        <v>13</v>
      </c>
      <c r="P5" s="399" t="s">
        <v>89</v>
      </c>
      <c r="Q5" s="400"/>
      <c r="R5" s="5"/>
      <c r="S5" s="75" t="s">
        <v>10</v>
      </c>
      <c r="T5" s="76" t="s">
        <v>10</v>
      </c>
      <c r="U5" s="115" t="s">
        <v>10</v>
      </c>
      <c r="V5" s="5"/>
      <c r="W5" s="75" t="s">
        <v>13</v>
      </c>
      <c r="X5" s="76" t="s">
        <v>13</v>
      </c>
      <c r="Y5" s="115" t="s">
        <v>13</v>
      </c>
    </row>
    <row r="6" spans="2:25" ht="14.25">
      <c r="B6" s="43"/>
      <c r="C6" s="44" t="s">
        <v>14</v>
      </c>
      <c r="D6" s="45"/>
      <c r="E6" s="46" t="s">
        <v>15</v>
      </c>
      <c r="F6" s="46"/>
      <c r="G6" s="44" t="s">
        <v>16</v>
      </c>
      <c r="H6" s="46" t="s">
        <v>17</v>
      </c>
      <c r="I6" s="44" t="s">
        <v>199</v>
      </c>
      <c r="J6" s="46" t="s">
        <v>18</v>
      </c>
      <c r="K6" s="46" t="s">
        <v>17</v>
      </c>
      <c r="L6" s="44" t="s">
        <v>16</v>
      </c>
      <c r="M6" s="46" t="s">
        <v>58</v>
      </c>
      <c r="N6" s="46" t="s">
        <v>19</v>
      </c>
      <c r="O6" s="71" t="str">
        <f>IF(ISBLANK($N$2),"",VLOOKUP($N$2,コース・距離,3,FALSE))</f>
        <v>MAX=20</v>
      </c>
      <c r="P6" s="47">
        <f>IF($N$2="初島","初島MAG0°","")</f>
      </c>
      <c r="Q6" s="48"/>
      <c r="R6" s="6"/>
      <c r="S6" s="116" t="s">
        <v>20</v>
      </c>
      <c r="T6" s="71" t="s">
        <v>22</v>
      </c>
      <c r="U6" s="117" t="s">
        <v>21</v>
      </c>
      <c r="V6" s="6"/>
      <c r="W6" s="116" t="s">
        <v>97</v>
      </c>
      <c r="X6" s="71" t="s">
        <v>98</v>
      </c>
      <c r="Y6" s="117" t="s">
        <v>99</v>
      </c>
    </row>
    <row r="7" spans="2:27" ht="14.25">
      <c r="B7" s="86">
        <v>1</v>
      </c>
      <c r="C7" s="49">
        <v>312</v>
      </c>
      <c r="D7" s="50" t="str">
        <f aca="true" t="shared" si="0" ref="D7:D24">IF(ISBLANK(C7),"",VLOOKUP(C7,各艇データ,2,FALSE))</f>
        <v>はやとり</v>
      </c>
      <c r="E7" s="51">
        <f aca="true" t="shared" si="1" ref="E7:E24">IF(ISBLANK(C7),"",VLOOKUP(C7,各艇データ,3,FALSE))</f>
        <v>8.359</v>
      </c>
      <c r="F7" s="52">
        <v>4</v>
      </c>
      <c r="G7" s="8">
        <v>0.5302777777777777</v>
      </c>
      <c r="H7" s="49">
        <f aca="true" t="shared" si="2" ref="H7:H24">_xlfn.IFERROR(IF(G7-$Q$2&lt;=0,"",(G7-$Q$2)*86400),"")</f>
        <v>8015.999999999996</v>
      </c>
      <c r="I7" s="93">
        <f aca="true" t="shared" si="3" ref="I7:I24">IF($I$6="Ⅰ",S7,IF($I$6="Ⅱ",T7,IF($I$6="Ⅲ",U7,"")))</f>
        <v>571</v>
      </c>
      <c r="J7" s="51"/>
      <c r="K7" s="54">
        <f aca="true" t="shared" si="4" ref="K7:K24">_xlfn.IFERROR(H7*(1+0.01*J7)-I7*$N$3,"")</f>
        <v>1563.6999999999962</v>
      </c>
      <c r="L7" s="8">
        <f aca="true" t="shared" si="5" ref="L7:L31">_xlfn.IFERROR((K7-$K$7)/86400,"")</f>
        <v>0</v>
      </c>
      <c r="M7" s="55">
        <f aca="true" t="shared" si="6" ref="M7:M31">_xlfn.IFERROR((K7-$K$7)/$N$3,"")</f>
        <v>0</v>
      </c>
      <c r="N7" s="56">
        <f aca="true" t="shared" si="7" ref="N7:N31">_xlfn.IFERROR($N$3/(H7/3600),"")</f>
        <v>5.0748502994012</v>
      </c>
      <c r="O7" s="89">
        <f aca="true" t="shared" si="8" ref="O7:O24">ROUND(IF($O$6="MAX=20",W7,IF($O$6="MAX=30",X7,IF($O$6="MAX=40",Y7,""))),1)</f>
        <v>20</v>
      </c>
      <c r="P7" s="140"/>
      <c r="Q7" s="57"/>
      <c r="R7" s="5"/>
      <c r="S7" s="118">
        <f aca="true" t="shared" si="9" ref="S7:S31">IF(ISBLANK(C7),"",VLOOKUP(C7,各艇データ,4,FALSE))</f>
        <v>808.2</v>
      </c>
      <c r="T7" s="53">
        <f aca="true" t="shared" si="10" ref="T7:T31">IF(ISBLANK(C7),"",VLOOKUP(C7,各艇データ,5,FALSE))</f>
        <v>571</v>
      </c>
      <c r="U7" s="119">
        <f aca="true" t="shared" si="11" ref="U7:U31">IF(ISBLANK(C7),"",VLOOKUP(C7,各艇データ,6,FALSE))</f>
        <v>459.1</v>
      </c>
      <c r="V7" s="5"/>
      <c r="W7" s="123">
        <f>IF(ISBLANK(B7),"",_xlfn.IFERROR(20*($P$3+1-$B7)/$P$3,"20.0"))</f>
        <v>20</v>
      </c>
      <c r="X7" s="89">
        <f>IF(ISBLANK(B7),"",_xlfn.IFERROR(30*($P$3+1-$B7)/$P$3,"30.0"))</f>
        <v>30</v>
      </c>
      <c r="Y7" s="124">
        <f>IF(ISBLANK(B7),"",_xlfn.IFERROR(30*($P$3-$B7)/($P$3-1)+10,"20.0"))</f>
        <v>40</v>
      </c>
      <c r="AA7" s="346">
        <f>ROUND(O7,1)</f>
        <v>20</v>
      </c>
    </row>
    <row r="8" spans="2:27" ht="14.25">
      <c r="B8" s="87">
        <v>2</v>
      </c>
      <c r="C8" s="14">
        <v>5752</v>
      </c>
      <c r="D8" s="58" t="str">
        <f t="shared" si="0"/>
        <v>アルファ</v>
      </c>
      <c r="E8" s="15">
        <f t="shared" si="1"/>
        <v>10.394</v>
      </c>
      <c r="F8" s="59">
        <v>1</v>
      </c>
      <c r="G8" s="10">
        <v>0.5245601851851852</v>
      </c>
      <c r="H8" s="14">
        <f t="shared" si="2"/>
        <v>7522.000000000003</v>
      </c>
      <c r="I8" s="144">
        <f t="shared" si="3"/>
        <v>523.3</v>
      </c>
      <c r="J8" s="313"/>
      <c r="K8" s="27">
        <f t="shared" si="4"/>
        <v>1608.7100000000028</v>
      </c>
      <c r="L8" s="10">
        <f t="shared" si="5"/>
        <v>0.0005209490740741503</v>
      </c>
      <c r="M8" s="60">
        <f t="shared" si="6"/>
        <v>3.983185840708547</v>
      </c>
      <c r="N8" s="61">
        <f t="shared" si="7"/>
        <v>5.408136134006912</v>
      </c>
      <c r="O8" s="90">
        <f t="shared" si="8"/>
        <v>18.9</v>
      </c>
      <c r="P8" s="141"/>
      <c r="Q8" s="62"/>
      <c r="R8" s="5"/>
      <c r="S8" s="118">
        <f t="shared" si="9"/>
        <v>742.4</v>
      </c>
      <c r="T8" s="53">
        <f t="shared" si="10"/>
        <v>523.3</v>
      </c>
      <c r="U8" s="119">
        <f t="shared" si="11"/>
        <v>419</v>
      </c>
      <c r="V8" s="5"/>
      <c r="W8" s="123">
        <f aca="true" t="shared" si="12" ref="W8:W31">IF(ISBLANK(B8),"",_xlfn.IFERROR(20*($P$3+1-$B8)/$P$3,"20.0"))</f>
        <v>18.88888888888889</v>
      </c>
      <c r="X8" s="89">
        <f aca="true" t="shared" si="13" ref="X8:X31">IF(ISBLANK(B8),"",_xlfn.IFERROR(30*($P$3+1-$B8)/$P$3,"30.0"))</f>
        <v>28.333333333333332</v>
      </c>
      <c r="Y8" s="124">
        <f aca="true" t="shared" si="14" ref="Y8:Y31">IF(ISBLANK(B8),"",_xlfn.IFERROR(30*($P$3-$B8)/($P$3-1)+10,"20.0"))</f>
        <v>38.23529411764706</v>
      </c>
      <c r="AA8" s="346">
        <f aca="true" t="shared" si="15" ref="AA8:AA24">ROUND(O8,1)</f>
        <v>18.9</v>
      </c>
    </row>
    <row r="9" spans="2:27" ht="14.25">
      <c r="B9" s="87">
        <v>3</v>
      </c>
      <c r="C9" s="85">
        <v>321</v>
      </c>
      <c r="D9" s="58" t="str">
        <f t="shared" si="0"/>
        <v>かまくら</v>
      </c>
      <c r="E9" s="15">
        <f t="shared" si="1"/>
        <v>9.242</v>
      </c>
      <c r="F9" s="59">
        <v>3</v>
      </c>
      <c r="G9" s="10">
        <v>0.5299305555555556</v>
      </c>
      <c r="H9" s="14">
        <f t="shared" si="2"/>
        <v>7986.000000000002</v>
      </c>
      <c r="I9" s="144">
        <f t="shared" si="3"/>
        <v>548.5</v>
      </c>
      <c r="J9" s="15"/>
      <c r="K9" s="27">
        <f t="shared" si="4"/>
        <v>1787.9500000000016</v>
      </c>
      <c r="L9" s="10">
        <f t="shared" si="5"/>
        <v>0.0025954861111111742</v>
      </c>
      <c r="M9" s="60">
        <f t="shared" si="6"/>
        <v>19.845132743363312</v>
      </c>
      <c r="N9" s="61">
        <f t="shared" si="7"/>
        <v>5.093914350112697</v>
      </c>
      <c r="O9" s="90">
        <f t="shared" si="8"/>
        <v>17.8</v>
      </c>
      <c r="P9" s="141"/>
      <c r="Q9" s="62"/>
      <c r="R9" s="5"/>
      <c r="S9" s="118">
        <f t="shared" si="9"/>
        <v>777.2</v>
      </c>
      <c r="T9" s="53">
        <f t="shared" si="10"/>
        <v>548.5</v>
      </c>
      <c r="U9" s="119">
        <f t="shared" si="11"/>
        <v>440.1</v>
      </c>
      <c r="V9" s="5"/>
      <c r="W9" s="123">
        <f t="shared" si="12"/>
        <v>17.77777777777778</v>
      </c>
      <c r="X9" s="89">
        <f t="shared" si="13"/>
        <v>26.666666666666668</v>
      </c>
      <c r="Y9" s="124">
        <f t="shared" si="14"/>
        <v>36.470588235294116</v>
      </c>
      <c r="AA9" s="346">
        <f t="shared" si="15"/>
        <v>17.8</v>
      </c>
    </row>
    <row r="10" spans="2:27" ht="14.25">
      <c r="B10" s="87">
        <v>4</v>
      </c>
      <c r="C10" s="14">
        <v>1611</v>
      </c>
      <c r="D10" s="58" t="str">
        <f t="shared" si="0"/>
        <v>ﾈﾌﾟﾁｭｰﾝXⅡ</v>
      </c>
      <c r="E10" s="15">
        <f t="shared" si="1"/>
        <v>8.438</v>
      </c>
      <c r="F10" s="59">
        <v>7</v>
      </c>
      <c r="G10" s="10">
        <v>0.5331828703703704</v>
      </c>
      <c r="H10" s="14">
        <f t="shared" si="2"/>
        <v>8267</v>
      </c>
      <c r="I10" s="144">
        <f t="shared" si="3"/>
        <v>568.8</v>
      </c>
      <c r="J10" s="15"/>
      <c r="K10" s="27">
        <f t="shared" si="4"/>
        <v>1839.5600000000004</v>
      </c>
      <c r="L10" s="10">
        <f t="shared" si="5"/>
        <v>0.003192824074074123</v>
      </c>
      <c r="M10" s="60">
        <f t="shared" si="6"/>
        <v>24.412389380531344</v>
      </c>
      <c r="N10" s="61">
        <f t="shared" si="7"/>
        <v>4.920769323817588</v>
      </c>
      <c r="O10" s="90">
        <f t="shared" si="8"/>
        <v>16.7</v>
      </c>
      <c r="P10" s="141"/>
      <c r="Q10" s="62"/>
      <c r="R10" s="5"/>
      <c r="S10" s="118">
        <f t="shared" si="9"/>
        <v>805.3</v>
      </c>
      <c r="T10" s="53">
        <f t="shared" si="10"/>
        <v>568.8</v>
      </c>
      <c r="U10" s="119">
        <f t="shared" si="11"/>
        <v>457.3</v>
      </c>
      <c r="V10" s="5"/>
      <c r="W10" s="123">
        <f t="shared" si="12"/>
        <v>16.666666666666668</v>
      </c>
      <c r="X10" s="89">
        <f t="shared" si="13"/>
        <v>25</v>
      </c>
      <c r="Y10" s="124">
        <f t="shared" si="14"/>
        <v>34.705882352941174</v>
      </c>
      <c r="AA10" s="346">
        <f t="shared" si="15"/>
        <v>16.7</v>
      </c>
    </row>
    <row r="11" spans="2:27" ht="14.25">
      <c r="B11" s="88">
        <v>5</v>
      </c>
      <c r="C11" s="16">
        <v>380</v>
      </c>
      <c r="D11" s="63" t="str">
        <f t="shared" si="0"/>
        <v>テティス</v>
      </c>
      <c r="E11" s="17">
        <f t="shared" si="1"/>
        <v>10.197</v>
      </c>
      <c r="F11" s="64">
        <v>2</v>
      </c>
      <c r="G11" s="12">
        <v>0.5293171296296296</v>
      </c>
      <c r="H11" s="152">
        <f t="shared" si="2"/>
        <v>7932.999999999999</v>
      </c>
      <c r="I11" s="159">
        <f t="shared" si="3"/>
        <v>527.3</v>
      </c>
      <c r="J11" s="153"/>
      <c r="K11" s="154">
        <f t="shared" si="4"/>
        <v>1974.5099999999993</v>
      </c>
      <c r="L11" s="155">
        <f t="shared" si="5"/>
        <v>0.0047547453703704065</v>
      </c>
      <c r="M11" s="156">
        <f t="shared" si="6"/>
        <v>36.35486725663744</v>
      </c>
      <c r="N11" s="157">
        <f t="shared" si="7"/>
        <v>5.127946552376151</v>
      </c>
      <c r="O11" s="158">
        <f t="shared" si="8"/>
        <v>15.6</v>
      </c>
      <c r="P11" s="142"/>
      <c r="Q11" s="67"/>
      <c r="R11" s="5"/>
      <c r="S11" s="118">
        <f t="shared" si="9"/>
        <v>748</v>
      </c>
      <c r="T11" s="53">
        <f t="shared" si="10"/>
        <v>527.3</v>
      </c>
      <c r="U11" s="119">
        <f t="shared" si="11"/>
        <v>422.3</v>
      </c>
      <c r="V11" s="5"/>
      <c r="W11" s="123">
        <f t="shared" si="12"/>
        <v>15.555555555555555</v>
      </c>
      <c r="X11" s="89">
        <f t="shared" si="13"/>
        <v>23.333333333333332</v>
      </c>
      <c r="Y11" s="124">
        <f t="shared" si="14"/>
        <v>32.94117647058823</v>
      </c>
      <c r="AA11" s="346">
        <f t="shared" si="15"/>
        <v>15.6</v>
      </c>
    </row>
    <row r="12" spans="2:27" ht="14.25">
      <c r="B12" s="86">
        <v>6</v>
      </c>
      <c r="C12" s="49">
        <v>1985</v>
      </c>
      <c r="D12" s="50" t="str">
        <f t="shared" si="0"/>
        <v>波勝</v>
      </c>
      <c r="E12" s="51">
        <f t="shared" si="1"/>
        <v>7.059</v>
      </c>
      <c r="F12" s="52">
        <v>11</v>
      </c>
      <c r="G12" s="8">
        <v>0.5404398148148148</v>
      </c>
      <c r="H12" s="49">
        <f t="shared" si="2"/>
        <v>8894.000000000002</v>
      </c>
      <c r="I12" s="93">
        <f t="shared" si="3"/>
        <v>610.9</v>
      </c>
      <c r="J12" s="51"/>
      <c r="K12" s="54">
        <f t="shared" si="4"/>
        <v>1990.8300000000017</v>
      </c>
      <c r="L12" s="8">
        <f t="shared" si="5"/>
        <v>0.004943634259259324</v>
      </c>
      <c r="M12" s="55">
        <f t="shared" si="6"/>
        <v>37.799115044248275</v>
      </c>
      <c r="N12" s="56">
        <f t="shared" si="7"/>
        <v>4.5738700247357755</v>
      </c>
      <c r="O12" s="89">
        <f t="shared" si="8"/>
        <v>14.4</v>
      </c>
      <c r="P12" s="140"/>
      <c r="Q12" s="57"/>
      <c r="R12" s="5"/>
      <c r="S12" s="118">
        <f t="shared" si="9"/>
        <v>863.3</v>
      </c>
      <c r="T12" s="53">
        <f t="shared" si="10"/>
        <v>610.9</v>
      </c>
      <c r="U12" s="119">
        <f t="shared" si="11"/>
        <v>492.9</v>
      </c>
      <c r="V12" s="5"/>
      <c r="W12" s="123">
        <f t="shared" si="12"/>
        <v>14.444444444444445</v>
      </c>
      <c r="X12" s="89">
        <f t="shared" si="13"/>
        <v>21.666666666666668</v>
      </c>
      <c r="Y12" s="124">
        <f t="shared" si="14"/>
        <v>31.176470588235293</v>
      </c>
      <c r="AA12" s="346">
        <f t="shared" si="15"/>
        <v>14.4</v>
      </c>
    </row>
    <row r="13" spans="2:27" ht="14.25">
      <c r="B13" s="87">
        <v>7</v>
      </c>
      <c r="C13" s="14">
        <v>1733</v>
      </c>
      <c r="D13" s="58" t="str">
        <f t="shared" si="0"/>
        <v>ケロニア</v>
      </c>
      <c r="E13" s="15">
        <f t="shared" si="1"/>
        <v>9.515</v>
      </c>
      <c r="F13" s="59">
        <v>5</v>
      </c>
      <c r="G13" s="10">
        <v>0.5316087962962963</v>
      </c>
      <c r="H13" s="14">
        <f t="shared" si="2"/>
        <v>8131.000000000002</v>
      </c>
      <c r="I13" s="144">
        <f t="shared" si="3"/>
        <v>542.1</v>
      </c>
      <c r="J13" s="15"/>
      <c r="K13" s="27">
        <f t="shared" si="4"/>
        <v>2005.2700000000013</v>
      </c>
      <c r="L13" s="10">
        <f t="shared" si="5"/>
        <v>0.0051107638888889485</v>
      </c>
      <c r="M13" s="60">
        <f t="shared" si="6"/>
        <v>39.076991150442936</v>
      </c>
      <c r="N13" s="61">
        <f t="shared" si="7"/>
        <v>5.003074652564259</v>
      </c>
      <c r="O13" s="90">
        <f t="shared" si="8"/>
        <v>13.3</v>
      </c>
      <c r="P13" s="141"/>
      <c r="Q13" s="62"/>
      <c r="R13" s="5"/>
      <c r="S13" s="118">
        <f t="shared" si="9"/>
        <v>768.4</v>
      </c>
      <c r="T13" s="53">
        <f t="shared" si="10"/>
        <v>542.1</v>
      </c>
      <c r="U13" s="119">
        <f t="shared" si="11"/>
        <v>434.8</v>
      </c>
      <c r="V13" s="5"/>
      <c r="W13" s="123">
        <f t="shared" si="12"/>
        <v>13.333333333333334</v>
      </c>
      <c r="X13" s="89">
        <f t="shared" si="13"/>
        <v>20</v>
      </c>
      <c r="Y13" s="124">
        <f t="shared" si="14"/>
        <v>29.41176470588235</v>
      </c>
      <c r="AA13" s="346">
        <f t="shared" si="15"/>
        <v>13.3</v>
      </c>
    </row>
    <row r="14" spans="2:27" ht="14.25">
      <c r="B14" s="87">
        <v>8</v>
      </c>
      <c r="C14" s="14">
        <v>199</v>
      </c>
      <c r="D14" s="58" t="str">
        <f t="shared" si="0"/>
        <v>サ－モン4</v>
      </c>
      <c r="E14" s="15">
        <f t="shared" si="1"/>
        <v>9.03</v>
      </c>
      <c r="F14" s="59">
        <v>6</v>
      </c>
      <c r="G14" s="10">
        <v>0.5331597222222222</v>
      </c>
      <c r="H14" s="14">
        <f t="shared" si="2"/>
        <v>8264.999999999996</v>
      </c>
      <c r="I14" s="144">
        <f t="shared" si="3"/>
        <v>553.6</v>
      </c>
      <c r="J14" s="15"/>
      <c r="K14" s="27">
        <f t="shared" si="4"/>
        <v>2009.319999999996</v>
      </c>
      <c r="L14" s="10">
        <f t="shared" si="5"/>
        <v>0.005157638888888888</v>
      </c>
      <c r="M14" s="60">
        <f t="shared" si="6"/>
        <v>39.43539823008848</v>
      </c>
      <c r="N14" s="61">
        <f t="shared" si="7"/>
        <v>4.921960072595283</v>
      </c>
      <c r="O14" s="90">
        <f t="shared" si="8"/>
        <v>12.2</v>
      </c>
      <c r="P14" s="141"/>
      <c r="Q14" s="62"/>
      <c r="R14" s="5"/>
      <c r="S14" s="118">
        <f t="shared" si="9"/>
        <v>784.3</v>
      </c>
      <c r="T14" s="53">
        <f t="shared" si="10"/>
        <v>553.6</v>
      </c>
      <c r="U14" s="119">
        <f t="shared" si="11"/>
        <v>444.5</v>
      </c>
      <c r="V14" s="5"/>
      <c r="W14" s="123">
        <f t="shared" si="12"/>
        <v>12.222222222222221</v>
      </c>
      <c r="X14" s="89">
        <f t="shared" si="13"/>
        <v>18.333333333333332</v>
      </c>
      <c r="Y14" s="124">
        <f t="shared" si="14"/>
        <v>27.647058823529413</v>
      </c>
      <c r="AA14" s="346">
        <f t="shared" si="15"/>
        <v>12.2</v>
      </c>
    </row>
    <row r="15" spans="2:27" ht="14.25">
      <c r="B15" s="87">
        <v>9</v>
      </c>
      <c r="C15" s="14">
        <v>5755</v>
      </c>
      <c r="D15" s="58" t="str">
        <f t="shared" si="0"/>
        <v>ランカ</v>
      </c>
      <c r="E15" s="15">
        <f t="shared" si="1"/>
        <v>7.789</v>
      </c>
      <c r="F15" s="59">
        <v>10</v>
      </c>
      <c r="G15" s="10">
        <v>0.5387268518518519</v>
      </c>
      <c r="H15" s="14">
        <f t="shared" si="2"/>
        <v>8746.000000000002</v>
      </c>
      <c r="I15" s="144">
        <f t="shared" si="3"/>
        <v>587.4</v>
      </c>
      <c r="J15" s="15"/>
      <c r="K15" s="27">
        <f t="shared" si="4"/>
        <v>2108.380000000002</v>
      </c>
      <c r="L15" s="10">
        <f t="shared" si="5"/>
        <v>0.006304166666666733</v>
      </c>
      <c r="M15" s="60">
        <f t="shared" si="6"/>
        <v>48.20176991150493</v>
      </c>
      <c r="N15" s="61">
        <f t="shared" si="7"/>
        <v>4.651269151612165</v>
      </c>
      <c r="O15" s="90">
        <f t="shared" si="8"/>
        <v>11.1</v>
      </c>
      <c r="P15" s="141"/>
      <c r="Q15" s="62"/>
      <c r="R15" s="5"/>
      <c r="S15" s="118">
        <f t="shared" si="9"/>
        <v>830.8</v>
      </c>
      <c r="T15" s="53">
        <f t="shared" si="10"/>
        <v>587.4</v>
      </c>
      <c r="U15" s="119">
        <f t="shared" si="11"/>
        <v>472.9</v>
      </c>
      <c r="V15" s="5"/>
      <c r="W15" s="123">
        <f t="shared" si="12"/>
        <v>11.11111111111111</v>
      </c>
      <c r="X15" s="89">
        <f t="shared" si="13"/>
        <v>16.666666666666668</v>
      </c>
      <c r="Y15" s="124">
        <f t="shared" si="14"/>
        <v>25.88235294117647</v>
      </c>
      <c r="AA15" s="346">
        <f t="shared" si="15"/>
        <v>11.1</v>
      </c>
    </row>
    <row r="16" spans="2:27" ht="14.25">
      <c r="B16" s="88">
        <v>10</v>
      </c>
      <c r="C16" s="16">
        <v>6766</v>
      </c>
      <c r="D16" s="63" t="str">
        <f t="shared" si="0"/>
        <v>くろしお</v>
      </c>
      <c r="E16" s="17">
        <f t="shared" si="1"/>
        <v>8.443</v>
      </c>
      <c r="F16" s="64">
        <v>8</v>
      </c>
      <c r="G16" s="12">
        <v>0.5367013888888889</v>
      </c>
      <c r="H16" s="16">
        <f t="shared" si="2"/>
        <v>8570.999999999996</v>
      </c>
      <c r="I16" s="96">
        <f t="shared" si="3"/>
        <v>568.7</v>
      </c>
      <c r="J16" s="17"/>
      <c r="K16" s="28">
        <f t="shared" si="4"/>
        <v>2144.689999999995</v>
      </c>
      <c r="L16" s="12">
        <f t="shared" si="5"/>
        <v>0.006724421296296283</v>
      </c>
      <c r="M16" s="65">
        <f t="shared" si="6"/>
        <v>51.415044247787506</v>
      </c>
      <c r="N16" s="66">
        <f t="shared" si="7"/>
        <v>4.746237311865595</v>
      </c>
      <c r="O16" s="91">
        <f t="shared" si="8"/>
        <v>10</v>
      </c>
      <c r="P16" s="142"/>
      <c r="Q16" s="67"/>
      <c r="R16" s="5"/>
      <c r="S16" s="118">
        <f t="shared" si="9"/>
        <v>805.1</v>
      </c>
      <c r="T16" s="53">
        <f t="shared" si="10"/>
        <v>568.7</v>
      </c>
      <c r="U16" s="119">
        <f t="shared" si="11"/>
        <v>457.2</v>
      </c>
      <c r="V16" s="5"/>
      <c r="W16" s="123">
        <f t="shared" si="12"/>
        <v>10</v>
      </c>
      <c r="X16" s="89">
        <f t="shared" si="13"/>
        <v>15</v>
      </c>
      <c r="Y16" s="124">
        <f t="shared" si="14"/>
        <v>24.11764705882353</v>
      </c>
      <c r="AA16" s="346">
        <f t="shared" si="15"/>
        <v>10</v>
      </c>
    </row>
    <row r="17" spans="2:27" ht="14.25">
      <c r="B17" s="86">
        <v>11</v>
      </c>
      <c r="C17" s="49">
        <v>346</v>
      </c>
      <c r="D17" s="50" t="str">
        <f t="shared" si="0"/>
        <v>飛車角</v>
      </c>
      <c r="E17" s="51">
        <f t="shared" si="1"/>
        <v>8.495</v>
      </c>
      <c r="F17" s="52">
        <v>9</v>
      </c>
      <c r="G17" s="8">
        <v>0.5371527777777778</v>
      </c>
      <c r="H17" s="18">
        <f t="shared" si="2"/>
        <v>8610.000000000004</v>
      </c>
      <c r="I17" s="160">
        <f t="shared" si="3"/>
        <v>567.3</v>
      </c>
      <c r="J17" s="146"/>
      <c r="K17" s="147">
        <f t="shared" si="4"/>
        <v>2199.510000000004</v>
      </c>
      <c r="L17" s="13">
        <f t="shared" si="5"/>
        <v>0.0073589120370371255</v>
      </c>
      <c r="M17" s="100">
        <f t="shared" si="6"/>
        <v>56.26637168141661</v>
      </c>
      <c r="N17" s="101">
        <f t="shared" si="7"/>
        <v>4.724738675958187</v>
      </c>
      <c r="O17" s="148">
        <f t="shared" si="8"/>
        <v>8.9</v>
      </c>
      <c r="P17" s="140"/>
      <c r="Q17" s="57"/>
      <c r="R17" s="5"/>
      <c r="S17" s="118">
        <f t="shared" si="9"/>
        <v>803.2</v>
      </c>
      <c r="T17" s="53">
        <f t="shared" si="10"/>
        <v>567.3</v>
      </c>
      <c r="U17" s="119">
        <f t="shared" si="11"/>
        <v>456</v>
      </c>
      <c r="V17" s="5"/>
      <c r="W17" s="123">
        <f t="shared" si="12"/>
        <v>8.88888888888889</v>
      </c>
      <c r="X17" s="89">
        <f t="shared" si="13"/>
        <v>13.333333333333334</v>
      </c>
      <c r="Y17" s="124">
        <f t="shared" si="14"/>
        <v>22.352941176470587</v>
      </c>
      <c r="AA17" s="346">
        <f t="shared" si="15"/>
        <v>8.9</v>
      </c>
    </row>
    <row r="18" spans="2:27" ht="14.25">
      <c r="B18" s="87">
        <v>12</v>
      </c>
      <c r="C18" s="14">
        <v>4323</v>
      </c>
      <c r="D18" s="58" t="str">
        <f t="shared" si="0"/>
        <v>飛天</v>
      </c>
      <c r="E18" s="15">
        <f t="shared" si="1"/>
        <v>7.084</v>
      </c>
      <c r="F18" s="59">
        <v>13</v>
      </c>
      <c r="G18" s="10">
        <v>0.5466782407407408</v>
      </c>
      <c r="H18" s="14">
        <f t="shared" si="2"/>
        <v>9433.000000000004</v>
      </c>
      <c r="I18" s="144">
        <f t="shared" si="3"/>
        <v>610.1</v>
      </c>
      <c r="J18" s="15"/>
      <c r="K18" s="27">
        <f t="shared" si="4"/>
        <v>2538.8700000000026</v>
      </c>
      <c r="L18" s="10">
        <f t="shared" si="5"/>
        <v>0.01128668981481489</v>
      </c>
      <c r="M18" s="60">
        <f t="shared" si="6"/>
        <v>86.29823008849614</v>
      </c>
      <c r="N18" s="61">
        <f t="shared" si="7"/>
        <v>4.312519877027455</v>
      </c>
      <c r="O18" s="90">
        <f t="shared" si="8"/>
        <v>7.8</v>
      </c>
      <c r="P18" s="141"/>
      <c r="Q18" s="62"/>
      <c r="R18" s="5"/>
      <c r="S18" s="118">
        <f t="shared" si="9"/>
        <v>862.1</v>
      </c>
      <c r="T18" s="53">
        <f t="shared" si="10"/>
        <v>610.1</v>
      </c>
      <c r="U18" s="119">
        <f t="shared" si="11"/>
        <v>492.2</v>
      </c>
      <c r="V18" s="5"/>
      <c r="W18" s="123">
        <f t="shared" si="12"/>
        <v>7.777777777777778</v>
      </c>
      <c r="X18" s="89">
        <f t="shared" si="13"/>
        <v>11.666666666666666</v>
      </c>
      <c r="Y18" s="124">
        <f t="shared" si="14"/>
        <v>20.588235294117645</v>
      </c>
      <c r="AA18" s="346">
        <f t="shared" si="15"/>
        <v>7.8</v>
      </c>
    </row>
    <row r="19" spans="2:27" ht="14.25">
      <c r="B19" s="87">
        <v>13</v>
      </c>
      <c r="C19" s="14">
        <v>162</v>
      </c>
      <c r="D19" s="58" t="str">
        <f t="shared" si="0"/>
        <v>ﾌｪﾆｯｸｽ</v>
      </c>
      <c r="E19" s="15">
        <f t="shared" si="1"/>
        <v>6.838</v>
      </c>
      <c r="F19" s="59">
        <v>15</v>
      </c>
      <c r="G19" s="10">
        <v>0.548425925925926</v>
      </c>
      <c r="H19" s="14">
        <f t="shared" si="2"/>
        <v>9584.000000000005</v>
      </c>
      <c r="I19" s="144">
        <f t="shared" si="3"/>
        <v>618.7</v>
      </c>
      <c r="J19" s="15"/>
      <c r="K19" s="27">
        <f t="shared" si="4"/>
        <v>2592.690000000004</v>
      </c>
      <c r="L19" s="10">
        <f t="shared" si="5"/>
        <v>0.011909606481481573</v>
      </c>
      <c r="M19" s="60">
        <f t="shared" si="6"/>
        <v>91.06106194690335</v>
      </c>
      <c r="N19" s="61">
        <f t="shared" si="7"/>
        <v>4.244574290484138</v>
      </c>
      <c r="O19" s="90">
        <f t="shared" si="8"/>
        <v>6.7</v>
      </c>
      <c r="P19" s="141"/>
      <c r="Q19" s="62"/>
      <c r="R19" s="5"/>
      <c r="S19" s="118">
        <f t="shared" si="9"/>
        <v>874.1</v>
      </c>
      <c r="T19" s="53">
        <f t="shared" si="10"/>
        <v>618.7</v>
      </c>
      <c r="U19" s="119">
        <f t="shared" si="11"/>
        <v>499.5</v>
      </c>
      <c r="V19" s="5"/>
      <c r="W19" s="123">
        <f t="shared" si="12"/>
        <v>6.666666666666667</v>
      </c>
      <c r="X19" s="89">
        <f t="shared" si="13"/>
        <v>10</v>
      </c>
      <c r="Y19" s="124">
        <f t="shared" si="14"/>
        <v>18.823529411764707</v>
      </c>
      <c r="AA19" s="346">
        <f t="shared" si="15"/>
        <v>6.7</v>
      </c>
    </row>
    <row r="20" spans="2:27" ht="14.25">
      <c r="B20" s="87">
        <v>14</v>
      </c>
      <c r="C20" s="14">
        <v>4469</v>
      </c>
      <c r="D20" s="58" t="str">
        <f t="shared" si="0"/>
        <v>未央</v>
      </c>
      <c r="E20" s="15">
        <f t="shared" si="1"/>
        <v>7.011</v>
      </c>
      <c r="F20" s="59">
        <v>14</v>
      </c>
      <c r="G20" s="10">
        <v>0.5478703703703703</v>
      </c>
      <c r="H20" s="14">
        <f t="shared" si="2"/>
        <v>9535.999999999998</v>
      </c>
      <c r="I20" s="144">
        <f t="shared" si="3"/>
        <v>612.6</v>
      </c>
      <c r="J20" s="15"/>
      <c r="K20" s="27">
        <f t="shared" si="4"/>
        <v>2613.619999999997</v>
      </c>
      <c r="L20" s="10">
        <f t="shared" si="5"/>
        <v>0.012151851851851863</v>
      </c>
      <c r="M20" s="60">
        <f t="shared" si="6"/>
        <v>92.91327433628327</v>
      </c>
      <c r="N20" s="61">
        <f t="shared" si="7"/>
        <v>4.2659395973154375</v>
      </c>
      <c r="O20" s="90">
        <f t="shared" si="8"/>
        <v>5.6</v>
      </c>
      <c r="P20" s="296"/>
      <c r="Q20" s="62"/>
      <c r="R20" s="5"/>
      <c r="S20" s="118">
        <f t="shared" si="9"/>
        <v>865.6</v>
      </c>
      <c r="T20" s="53">
        <f t="shared" si="10"/>
        <v>612.6</v>
      </c>
      <c r="U20" s="119">
        <f t="shared" si="11"/>
        <v>494.3</v>
      </c>
      <c r="V20" s="5"/>
      <c r="W20" s="123">
        <f t="shared" si="12"/>
        <v>5.555555555555555</v>
      </c>
      <c r="X20" s="89">
        <f t="shared" si="13"/>
        <v>8.333333333333334</v>
      </c>
      <c r="Y20" s="124">
        <f t="shared" si="14"/>
        <v>17.058823529411764</v>
      </c>
      <c r="AA20" s="346">
        <f t="shared" si="15"/>
        <v>5.6</v>
      </c>
    </row>
    <row r="21" spans="2:27" ht="14.25">
      <c r="B21" s="88">
        <v>15</v>
      </c>
      <c r="C21" s="16">
        <v>131</v>
      </c>
      <c r="D21" s="63" t="str">
        <f t="shared" si="0"/>
        <v>ふるたか</v>
      </c>
      <c r="E21" s="17">
        <f t="shared" si="1"/>
        <v>8.317</v>
      </c>
      <c r="F21" s="64">
        <v>12</v>
      </c>
      <c r="G21" s="12">
        <v>0.5432175925925926</v>
      </c>
      <c r="H21" s="152">
        <f t="shared" si="2"/>
        <v>9134.000000000002</v>
      </c>
      <c r="I21" s="159">
        <f t="shared" si="3"/>
        <v>572.1</v>
      </c>
      <c r="J21" s="153"/>
      <c r="K21" s="154">
        <f t="shared" si="4"/>
        <v>2669.2700000000013</v>
      </c>
      <c r="L21" s="155">
        <f t="shared" si="5"/>
        <v>0.012795949074074133</v>
      </c>
      <c r="M21" s="156">
        <f t="shared" si="6"/>
        <v>97.83805309734558</v>
      </c>
      <c r="N21" s="157">
        <f t="shared" si="7"/>
        <v>4.453689511714473</v>
      </c>
      <c r="O21" s="158">
        <f t="shared" si="8"/>
        <v>4.4</v>
      </c>
      <c r="P21" s="342"/>
      <c r="Q21" s="67"/>
      <c r="R21" s="5"/>
      <c r="S21" s="118">
        <f t="shared" si="9"/>
        <v>809.8</v>
      </c>
      <c r="T21" s="53">
        <f t="shared" si="10"/>
        <v>572.1</v>
      </c>
      <c r="U21" s="119">
        <f t="shared" si="11"/>
        <v>460.1</v>
      </c>
      <c r="V21" s="5"/>
      <c r="W21" s="123">
        <f t="shared" si="12"/>
        <v>4.444444444444445</v>
      </c>
      <c r="X21" s="89">
        <f t="shared" si="13"/>
        <v>6.666666666666667</v>
      </c>
      <c r="Y21" s="124">
        <f t="shared" si="14"/>
        <v>15.294117647058822</v>
      </c>
      <c r="AA21" s="346">
        <f t="shared" si="15"/>
        <v>4.4</v>
      </c>
    </row>
    <row r="22" spans="2:27" ht="14.25">
      <c r="B22" s="98">
        <v>16</v>
      </c>
      <c r="C22" s="18">
        <v>2759</v>
      </c>
      <c r="D22" s="50" t="str">
        <f t="shared" si="0"/>
        <v>イクソラⅢ</v>
      </c>
      <c r="E22" s="51">
        <f t="shared" si="1"/>
        <v>6.679</v>
      </c>
      <c r="F22" s="99">
        <v>18</v>
      </c>
      <c r="G22" s="13">
        <v>0.5530324074074074</v>
      </c>
      <c r="H22" s="49">
        <f t="shared" si="2"/>
        <v>9982.000000000004</v>
      </c>
      <c r="I22" s="93">
        <f t="shared" si="3"/>
        <v>624.6</v>
      </c>
      <c r="J22" s="51"/>
      <c r="K22" s="54">
        <f t="shared" si="4"/>
        <v>2924.020000000003</v>
      </c>
      <c r="L22" s="8">
        <f t="shared" si="5"/>
        <v>0.015744444444444526</v>
      </c>
      <c r="M22" s="55">
        <f t="shared" si="6"/>
        <v>120.38230088495636</v>
      </c>
      <c r="N22" s="56">
        <f t="shared" si="7"/>
        <v>4.075335604087356</v>
      </c>
      <c r="O22" s="89">
        <f t="shared" si="8"/>
        <v>3.3</v>
      </c>
      <c r="P22" s="343"/>
      <c r="Q22" s="102"/>
      <c r="R22" s="5"/>
      <c r="S22" s="118">
        <f t="shared" si="9"/>
        <v>882.1</v>
      </c>
      <c r="T22" s="53">
        <f t="shared" si="10"/>
        <v>624.6</v>
      </c>
      <c r="U22" s="119">
        <f t="shared" si="11"/>
        <v>504.5</v>
      </c>
      <c r="V22" s="5"/>
      <c r="W22" s="123">
        <f t="shared" si="12"/>
        <v>3.3333333333333335</v>
      </c>
      <c r="X22" s="89">
        <f t="shared" si="13"/>
        <v>5</v>
      </c>
      <c r="Y22" s="124">
        <f t="shared" si="14"/>
        <v>13.529411764705882</v>
      </c>
      <c r="AA22" s="346">
        <f t="shared" si="15"/>
        <v>3.3</v>
      </c>
    </row>
    <row r="23" spans="2:27" ht="14.25">
      <c r="B23" s="87">
        <v>17</v>
      </c>
      <c r="C23" s="14">
        <v>2212</v>
      </c>
      <c r="D23" s="58" t="str">
        <f t="shared" si="0"/>
        <v>衣笠</v>
      </c>
      <c r="E23" s="15">
        <f t="shared" si="1"/>
        <v>8.952</v>
      </c>
      <c r="F23" s="59">
        <v>17</v>
      </c>
      <c r="G23" s="10">
        <v>0.5518287037037037</v>
      </c>
      <c r="H23" s="14">
        <f t="shared" si="2"/>
        <v>9878.000000000004</v>
      </c>
      <c r="I23" s="144">
        <f t="shared" si="3"/>
        <v>555.5</v>
      </c>
      <c r="J23" s="15"/>
      <c r="K23" s="27">
        <f t="shared" si="4"/>
        <v>3600.850000000003</v>
      </c>
      <c r="L23" s="10">
        <f t="shared" si="5"/>
        <v>0.02357812500000008</v>
      </c>
      <c r="M23" s="60">
        <f t="shared" si="6"/>
        <v>180.2787610619475</v>
      </c>
      <c r="N23" s="61">
        <f t="shared" si="7"/>
        <v>4.118242559222514</v>
      </c>
      <c r="O23" s="90">
        <f t="shared" si="8"/>
        <v>2.2</v>
      </c>
      <c r="P23" s="296"/>
      <c r="Q23" s="62"/>
      <c r="R23" s="5"/>
      <c r="S23" s="118">
        <f t="shared" si="9"/>
        <v>786.9</v>
      </c>
      <c r="T23" s="53">
        <f t="shared" si="10"/>
        <v>555.5</v>
      </c>
      <c r="U23" s="119">
        <f t="shared" si="11"/>
        <v>446.1</v>
      </c>
      <c r="V23" s="5"/>
      <c r="W23" s="123">
        <f t="shared" si="12"/>
        <v>2.2222222222222223</v>
      </c>
      <c r="X23" s="89">
        <f t="shared" si="13"/>
        <v>3.3333333333333335</v>
      </c>
      <c r="Y23" s="124">
        <f t="shared" si="14"/>
        <v>11.764705882352942</v>
      </c>
      <c r="AA23" s="346">
        <f t="shared" si="15"/>
        <v>2.2</v>
      </c>
    </row>
    <row r="24" spans="2:27" ht="14.25">
      <c r="B24" s="87">
        <v>18</v>
      </c>
      <c r="C24" s="14">
        <v>4010</v>
      </c>
      <c r="D24" s="58" t="str">
        <f t="shared" si="0"/>
        <v>ナジャ</v>
      </c>
      <c r="E24" s="15">
        <f t="shared" si="1"/>
        <v>10.205</v>
      </c>
      <c r="F24" s="59">
        <v>16</v>
      </c>
      <c r="G24" s="10">
        <v>0.5512268518518518</v>
      </c>
      <c r="H24" s="14">
        <f t="shared" si="2"/>
        <v>9825.999999999998</v>
      </c>
      <c r="I24" s="144">
        <f t="shared" si="3"/>
        <v>527.2</v>
      </c>
      <c r="J24" s="15"/>
      <c r="K24" s="27">
        <f t="shared" si="4"/>
        <v>3868.6399999999976</v>
      </c>
      <c r="L24" s="10">
        <f t="shared" si="5"/>
        <v>0.026677546296296314</v>
      </c>
      <c r="M24" s="60">
        <f t="shared" si="6"/>
        <v>203.9769911504426</v>
      </c>
      <c r="N24" s="61">
        <f t="shared" si="7"/>
        <v>4.1400366374923685</v>
      </c>
      <c r="O24" s="90">
        <f t="shared" si="8"/>
        <v>1.1</v>
      </c>
      <c r="P24" s="296"/>
      <c r="Q24" s="62"/>
      <c r="R24" s="5"/>
      <c r="S24" s="118">
        <f t="shared" si="9"/>
        <v>747.7</v>
      </c>
      <c r="T24" s="53">
        <f t="shared" si="10"/>
        <v>527.2</v>
      </c>
      <c r="U24" s="119">
        <f t="shared" si="11"/>
        <v>422.2</v>
      </c>
      <c r="V24" s="5"/>
      <c r="W24" s="123">
        <f t="shared" si="12"/>
        <v>1.1111111111111112</v>
      </c>
      <c r="X24" s="89">
        <f t="shared" si="13"/>
        <v>1.6666666666666667</v>
      </c>
      <c r="Y24" s="124">
        <f t="shared" si="14"/>
        <v>10</v>
      </c>
      <c r="AA24" s="346">
        <f t="shared" si="15"/>
        <v>1.1</v>
      </c>
    </row>
    <row r="25" spans="2:25" ht="14.25">
      <c r="B25" s="87"/>
      <c r="C25" s="14"/>
      <c r="D25" s="58">
        <f aca="true" t="shared" si="16" ref="D25:D31">IF(ISBLANK(C25),"",VLOOKUP(C25,各艇データ,2,FALSE))</f>
      </c>
      <c r="E25" s="15">
        <f aca="true" t="shared" si="17" ref="E25:E31">IF(ISBLANK(C25),"",VLOOKUP(C25,各艇データ,3,FALSE))</f>
      </c>
      <c r="F25" s="59"/>
      <c r="G25" s="10"/>
      <c r="H25" s="14">
        <f aca="true" t="shared" si="18" ref="H25:H31">_xlfn.IFERROR(IF(G25-$Q$2&lt;=0,"",(G25-$Q$2)*86400),"")</f>
      </c>
      <c r="I25" s="144">
        <f aca="true" t="shared" si="19" ref="I25:I31">IF($I$6="Ⅰ",S25,IF($I$6="Ⅱ",T25,IF($I$6="Ⅲ",U25,"")))</f>
      </c>
      <c r="J25" s="15"/>
      <c r="K25" s="27">
        <f aca="true" t="shared" si="20" ref="K25:K31">_xlfn.IFERROR(H25*(1+0.01*J25)-I25*$N$3,"")</f>
      </c>
      <c r="L25" s="10">
        <f t="shared" si="5"/>
      </c>
      <c r="M25" s="60">
        <f t="shared" si="6"/>
      </c>
      <c r="N25" s="61">
        <f t="shared" si="7"/>
      </c>
      <c r="O25" s="90">
        <f aca="true" t="shared" si="21" ref="O25:O31">IF($O$6="MAX=20",W25,IF($O$6="MAX=30",X25,IF($O$6="MAX=40",Y25,"")))</f>
      </c>
      <c r="P25" s="141"/>
      <c r="Q25" s="62"/>
      <c r="R25" s="5"/>
      <c r="S25" s="118">
        <f t="shared" si="9"/>
      </c>
      <c r="T25" s="53">
        <f t="shared" si="10"/>
      </c>
      <c r="U25" s="119">
        <f t="shared" si="11"/>
      </c>
      <c r="V25" s="5"/>
      <c r="W25" s="123">
        <f t="shared" si="12"/>
      </c>
      <c r="X25" s="89">
        <f t="shared" si="13"/>
      </c>
      <c r="Y25" s="124">
        <f t="shared" si="14"/>
      </c>
    </row>
    <row r="26" spans="2:25" ht="14.25">
      <c r="B26" s="88"/>
      <c r="C26" s="16"/>
      <c r="D26" s="63">
        <f t="shared" si="16"/>
      </c>
      <c r="E26" s="17">
        <f t="shared" si="17"/>
      </c>
      <c r="F26" s="64"/>
      <c r="G26" s="12"/>
      <c r="H26" s="16">
        <f t="shared" si="18"/>
      </c>
      <c r="I26" s="96">
        <f t="shared" si="19"/>
      </c>
      <c r="J26" s="17"/>
      <c r="K26" s="28">
        <f t="shared" si="20"/>
      </c>
      <c r="L26" s="12">
        <f t="shared" si="5"/>
      </c>
      <c r="M26" s="65">
        <f t="shared" si="6"/>
      </c>
      <c r="N26" s="66">
        <f t="shared" si="7"/>
      </c>
      <c r="O26" s="91">
        <f t="shared" si="21"/>
      </c>
      <c r="P26" s="142"/>
      <c r="Q26" s="67"/>
      <c r="R26" s="5"/>
      <c r="S26" s="118">
        <f t="shared" si="9"/>
      </c>
      <c r="T26" s="53">
        <f t="shared" si="10"/>
      </c>
      <c r="U26" s="119">
        <f t="shared" si="11"/>
      </c>
      <c r="V26" s="5"/>
      <c r="W26" s="123">
        <f t="shared" si="12"/>
      </c>
      <c r="X26" s="89">
        <f t="shared" si="13"/>
      </c>
      <c r="Y26" s="124">
        <f t="shared" si="14"/>
      </c>
    </row>
    <row r="27" spans="2:25" ht="14.25">
      <c r="B27" s="98"/>
      <c r="C27" s="18">
        <v>4400</v>
      </c>
      <c r="D27" s="58" t="str">
        <f t="shared" si="16"/>
        <v>アイデアル</v>
      </c>
      <c r="E27" s="146"/>
      <c r="F27" s="99"/>
      <c r="G27" s="13"/>
      <c r="H27" s="18"/>
      <c r="I27" s="160"/>
      <c r="J27" s="146"/>
      <c r="K27" s="147"/>
      <c r="L27" s="13"/>
      <c r="M27" s="100"/>
      <c r="N27" s="101"/>
      <c r="O27" s="148">
        <v>1</v>
      </c>
      <c r="P27" s="143" t="s">
        <v>415</v>
      </c>
      <c r="Q27" s="102"/>
      <c r="R27" s="5"/>
      <c r="S27" s="118">
        <f t="shared" si="9"/>
        <v>828.9</v>
      </c>
      <c r="T27" s="53">
        <f t="shared" si="10"/>
        <v>585.9</v>
      </c>
      <c r="U27" s="119">
        <f t="shared" si="11"/>
        <v>471.7</v>
      </c>
      <c r="V27" s="5"/>
      <c r="W27" s="123">
        <f t="shared" si="12"/>
      </c>
      <c r="X27" s="89">
        <f t="shared" si="13"/>
      </c>
      <c r="Y27" s="124">
        <f t="shared" si="14"/>
      </c>
    </row>
    <row r="28" spans="2:25" ht="14.25">
      <c r="B28" s="87"/>
      <c r="C28" s="14"/>
      <c r="D28" s="58">
        <f t="shared" si="16"/>
      </c>
      <c r="E28" s="15">
        <f t="shared" si="17"/>
      </c>
      <c r="F28" s="59"/>
      <c r="G28" s="10"/>
      <c r="H28" s="14">
        <f t="shared" si="18"/>
      </c>
      <c r="I28" s="144">
        <f t="shared" si="19"/>
      </c>
      <c r="J28" s="15"/>
      <c r="K28" s="27">
        <f t="shared" si="20"/>
      </c>
      <c r="L28" s="10">
        <f t="shared" si="5"/>
      </c>
      <c r="M28" s="60">
        <f t="shared" si="6"/>
      </c>
      <c r="N28" s="61">
        <f t="shared" si="7"/>
      </c>
      <c r="O28" s="90">
        <f t="shared" si="21"/>
      </c>
      <c r="P28" s="141"/>
      <c r="Q28" s="62"/>
      <c r="R28" s="5"/>
      <c r="S28" s="118">
        <f t="shared" si="9"/>
      </c>
      <c r="T28" s="53">
        <f t="shared" si="10"/>
      </c>
      <c r="U28" s="119">
        <f t="shared" si="11"/>
      </c>
      <c r="V28" s="5"/>
      <c r="W28" s="123">
        <f t="shared" si="12"/>
      </c>
      <c r="X28" s="89">
        <f t="shared" si="13"/>
      </c>
      <c r="Y28" s="124">
        <f t="shared" si="14"/>
      </c>
    </row>
    <row r="29" spans="2:25" ht="14.25">
      <c r="B29" s="87"/>
      <c r="C29" s="14"/>
      <c r="D29" s="58">
        <f t="shared" si="16"/>
      </c>
      <c r="E29" s="15">
        <f t="shared" si="17"/>
      </c>
      <c r="F29" s="59"/>
      <c r="G29" s="10"/>
      <c r="H29" s="14">
        <f t="shared" si="18"/>
      </c>
      <c r="I29" s="144">
        <f t="shared" si="19"/>
      </c>
      <c r="J29" s="15"/>
      <c r="K29" s="27">
        <f t="shared" si="20"/>
      </c>
      <c r="L29" s="10">
        <f t="shared" si="5"/>
      </c>
      <c r="M29" s="60">
        <f t="shared" si="6"/>
      </c>
      <c r="N29" s="61">
        <f t="shared" si="7"/>
      </c>
      <c r="O29" s="90">
        <f t="shared" si="21"/>
      </c>
      <c r="P29" s="141"/>
      <c r="Q29" s="62"/>
      <c r="R29" s="5"/>
      <c r="S29" s="118">
        <f t="shared" si="9"/>
      </c>
      <c r="T29" s="53">
        <f>IF(ISBLANK(C29),"",VLOOKUP(C29,各艇データ,5,FALSE))</f>
      </c>
      <c r="U29" s="119">
        <f t="shared" si="11"/>
      </c>
      <c r="V29" s="5"/>
      <c r="W29" s="123">
        <f t="shared" si="12"/>
      </c>
      <c r="X29" s="89">
        <f t="shared" si="13"/>
      </c>
      <c r="Y29" s="124">
        <f t="shared" si="14"/>
      </c>
    </row>
    <row r="30" spans="2:25" ht="14.25">
      <c r="B30" s="87"/>
      <c r="C30" s="14"/>
      <c r="D30" s="58">
        <f t="shared" si="16"/>
      </c>
      <c r="E30" s="15">
        <f t="shared" si="17"/>
      </c>
      <c r="F30" s="59"/>
      <c r="G30" s="10"/>
      <c r="H30" s="14">
        <f t="shared" si="18"/>
      </c>
      <c r="I30" s="144">
        <f t="shared" si="19"/>
      </c>
      <c r="J30" s="15"/>
      <c r="K30" s="27">
        <f t="shared" si="20"/>
      </c>
      <c r="L30" s="10">
        <f t="shared" si="5"/>
      </c>
      <c r="M30" s="60">
        <f t="shared" si="6"/>
      </c>
      <c r="N30" s="61">
        <f t="shared" si="7"/>
      </c>
      <c r="O30" s="90">
        <f t="shared" si="21"/>
      </c>
      <c r="P30" s="141"/>
      <c r="Q30" s="62"/>
      <c r="R30" s="5"/>
      <c r="S30" s="118">
        <f t="shared" si="9"/>
      </c>
      <c r="T30" s="53">
        <f t="shared" si="10"/>
      </c>
      <c r="U30" s="119">
        <f t="shared" si="11"/>
      </c>
      <c r="V30" s="5"/>
      <c r="W30" s="123">
        <f t="shared" si="12"/>
      </c>
      <c r="X30" s="89">
        <f t="shared" si="13"/>
      </c>
      <c r="Y30" s="124">
        <f t="shared" si="14"/>
      </c>
    </row>
    <row r="31" spans="2:25" ht="15" thickBot="1">
      <c r="B31" s="87"/>
      <c r="C31" s="14"/>
      <c r="D31" s="63">
        <f t="shared" si="16"/>
      </c>
      <c r="E31" s="17">
        <f t="shared" si="17"/>
      </c>
      <c r="F31" s="59"/>
      <c r="G31" s="10"/>
      <c r="H31" s="16">
        <f t="shared" si="18"/>
      </c>
      <c r="I31" s="96">
        <f t="shared" si="19"/>
      </c>
      <c r="J31" s="17"/>
      <c r="K31" s="28">
        <f t="shared" si="20"/>
      </c>
      <c r="L31" s="12">
        <f t="shared" si="5"/>
      </c>
      <c r="M31" s="65">
        <f t="shared" si="6"/>
      </c>
      <c r="N31" s="66">
        <f t="shared" si="7"/>
      </c>
      <c r="O31" s="91">
        <f t="shared" si="21"/>
      </c>
      <c r="P31" s="141"/>
      <c r="Q31" s="62"/>
      <c r="R31" s="5"/>
      <c r="S31" s="120">
        <f t="shared" si="9"/>
      </c>
      <c r="T31" s="121">
        <f t="shared" si="10"/>
      </c>
      <c r="U31" s="122">
        <f t="shared" si="11"/>
      </c>
      <c r="V31" s="5"/>
      <c r="W31" s="125">
        <f t="shared" si="12"/>
      </c>
      <c r="X31" s="126">
        <f t="shared" si="13"/>
      </c>
      <c r="Y31" s="68">
        <f t="shared" si="14"/>
      </c>
    </row>
    <row r="32" spans="2:22" ht="15" customHeight="1">
      <c r="B32" s="401" t="s">
        <v>78</v>
      </c>
      <c r="C32" s="402"/>
      <c r="D32" s="403"/>
      <c r="E32" s="367" t="s">
        <v>306</v>
      </c>
      <c r="F32" s="460" t="s">
        <v>402</v>
      </c>
      <c r="G32" s="461"/>
      <c r="H32" s="443" t="s">
        <v>424</v>
      </c>
      <c r="I32" s="471"/>
      <c r="J32" s="471"/>
      <c r="K32" s="471"/>
      <c r="L32" s="471"/>
      <c r="M32" s="471"/>
      <c r="N32" s="471"/>
      <c r="O32" s="471"/>
      <c r="P32" s="471"/>
      <c r="Q32" s="472"/>
      <c r="R32" s="1"/>
      <c r="T32" s="29"/>
      <c r="U32" s="1"/>
      <c r="V32" s="1"/>
    </row>
    <row r="33" spans="2:22" ht="15">
      <c r="B33" s="404"/>
      <c r="C33" s="405"/>
      <c r="D33" s="406"/>
      <c r="E33" s="368" t="s">
        <v>307</v>
      </c>
      <c r="F33" s="435" t="s">
        <v>400</v>
      </c>
      <c r="G33" s="436"/>
      <c r="H33" s="473"/>
      <c r="I33" s="474"/>
      <c r="J33" s="474"/>
      <c r="K33" s="474"/>
      <c r="L33" s="474"/>
      <c r="M33" s="474"/>
      <c r="N33" s="474"/>
      <c r="O33" s="474"/>
      <c r="P33" s="474"/>
      <c r="Q33" s="475"/>
      <c r="R33" s="1"/>
      <c r="U33" s="1"/>
      <c r="V33" s="1"/>
    </row>
    <row r="34" spans="2:22" ht="23.25" customHeight="1">
      <c r="B34" s="407"/>
      <c r="C34" s="408"/>
      <c r="D34" s="409"/>
      <c r="E34" s="368" t="s">
        <v>308</v>
      </c>
      <c r="F34" s="435" t="s">
        <v>401</v>
      </c>
      <c r="G34" s="436"/>
      <c r="H34" s="473"/>
      <c r="I34" s="474"/>
      <c r="J34" s="474"/>
      <c r="K34" s="474"/>
      <c r="L34" s="474"/>
      <c r="M34" s="474"/>
      <c r="N34" s="474"/>
      <c r="O34" s="474"/>
      <c r="P34" s="474"/>
      <c r="Q34" s="475"/>
      <c r="R34" s="1"/>
      <c r="U34" s="1"/>
      <c r="V34" s="1"/>
    </row>
    <row r="35" spans="2:22" ht="22.5" customHeight="1">
      <c r="B35" s="419" t="s">
        <v>79</v>
      </c>
      <c r="C35" s="420"/>
      <c r="D35" s="421"/>
      <c r="E35" s="429" t="s">
        <v>311</v>
      </c>
      <c r="F35" s="395" t="str">
        <f>'参照ﾃﾞｰﾀ'!AI9</f>
        <v>アイデアル</v>
      </c>
      <c r="G35" s="396"/>
      <c r="H35" s="473"/>
      <c r="I35" s="474"/>
      <c r="J35" s="474"/>
      <c r="K35" s="474"/>
      <c r="L35" s="474"/>
      <c r="M35" s="474"/>
      <c r="N35" s="474"/>
      <c r="O35" s="474"/>
      <c r="P35" s="474"/>
      <c r="Q35" s="475"/>
      <c r="R35" s="1"/>
      <c r="U35" s="1"/>
      <c r="V35" s="1"/>
    </row>
    <row r="36" spans="2:22" ht="15" customHeight="1">
      <c r="B36" s="422"/>
      <c r="C36" s="423"/>
      <c r="D36" s="424"/>
      <c r="E36" s="430"/>
      <c r="F36" s="431"/>
      <c r="G36" s="432"/>
      <c r="H36" s="473"/>
      <c r="I36" s="474"/>
      <c r="J36" s="474"/>
      <c r="K36" s="474"/>
      <c r="L36" s="474"/>
      <c r="M36" s="474"/>
      <c r="N36" s="474"/>
      <c r="O36" s="474"/>
      <c r="P36" s="474"/>
      <c r="Q36" s="475"/>
      <c r="R36" s="1"/>
      <c r="U36" s="1"/>
      <c r="V36" s="1"/>
    </row>
    <row r="37" spans="2:22" ht="15" customHeight="1">
      <c r="B37" s="422"/>
      <c r="C37" s="423"/>
      <c r="D37" s="424"/>
      <c r="E37" s="367" t="s">
        <v>309</v>
      </c>
      <c r="F37" s="397">
        <f>'参照ﾃﾞｰﾀ'!R10</f>
        <v>42568</v>
      </c>
      <c r="G37" s="398"/>
      <c r="H37" s="473"/>
      <c r="I37" s="474"/>
      <c r="J37" s="474"/>
      <c r="K37" s="474"/>
      <c r="L37" s="474"/>
      <c r="M37" s="474"/>
      <c r="N37" s="474"/>
      <c r="O37" s="474"/>
      <c r="P37" s="474"/>
      <c r="Q37" s="475"/>
      <c r="R37" s="1"/>
      <c r="U37" s="1"/>
      <c r="V37" s="1"/>
    </row>
    <row r="38" spans="2:22" ht="15">
      <c r="B38" s="422"/>
      <c r="C38" s="423"/>
      <c r="D38" s="424"/>
      <c r="E38" s="368" t="s">
        <v>325</v>
      </c>
      <c r="F38" s="395" t="str">
        <f>'参照ﾃﾞｰﾀ'!AH10</f>
        <v>Eまたは合同レース</v>
      </c>
      <c r="G38" s="396"/>
      <c r="H38" s="473"/>
      <c r="I38" s="474"/>
      <c r="J38" s="474"/>
      <c r="K38" s="474"/>
      <c r="L38" s="474"/>
      <c r="M38" s="474"/>
      <c r="N38" s="474"/>
      <c r="O38" s="474"/>
      <c r="P38" s="474"/>
      <c r="Q38" s="475"/>
      <c r="R38" s="1"/>
      <c r="U38" s="1"/>
      <c r="V38" s="1"/>
    </row>
    <row r="39" spans="2:22" ht="15">
      <c r="B39" s="422"/>
      <c r="C39" s="423"/>
      <c r="D39" s="424"/>
      <c r="E39" s="368" t="s">
        <v>310</v>
      </c>
      <c r="F39" s="395" t="str">
        <f>'参照ﾃﾞｰﾀ'!AI10</f>
        <v>ネプチューンⅣ</v>
      </c>
      <c r="G39" s="396"/>
      <c r="H39" s="473"/>
      <c r="I39" s="474"/>
      <c r="J39" s="474"/>
      <c r="K39" s="474"/>
      <c r="L39" s="474"/>
      <c r="M39" s="474"/>
      <c r="N39" s="474"/>
      <c r="O39" s="474"/>
      <c r="P39" s="474"/>
      <c r="Q39" s="475"/>
      <c r="R39" s="1"/>
      <c r="U39" s="1"/>
      <c r="V39" s="1"/>
    </row>
    <row r="40" spans="2:22" ht="15">
      <c r="B40" s="422"/>
      <c r="C40" s="423"/>
      <c r="D40" s="424"/>
      <c r="E40" s="368"/>
      <c r="F40" s="395"/>
      <c r="G40" s="396"/>
      <c r="H40" s="473"/>
      <c r="I40" s="474"/>
      <c r="J40" s="474"/>
      <c r="K40" s="474"/>
      <c r="L40" s="474"/>
      <c r="M40" s="474"/>
      <c r="N40" s="474"/>
      <c r="O40" s="474"/>
      <c r="P40" s="474"/>
      <c r="Q40" s="475"/>
      <c r="R40" s="1"/>
      <c r="U40" s="1"/>
      <c r="V40" s="1"/>
    </row>
    <row r="41" spans="2:22" ht="11.25" customHeight="1" thickBot="1">
      <c r="B41" s="425"/>
      <c r="C41" s="426"/>
      <c r="D41" s="427"/>
      <c r="E41" s="369"/>
      <c r="F41" s="433"/>
      <c r="G41" s="434"/>
      <c r="H41" s="476"/>
      <c r="I41" s="477"/>
      <c r="J41" s="477"/>
      <c r="K41" s="477"/>
      <c r="L41" s="477"/>
      <c r="M41" s="477"/>
      <c r="N41" s="477"/>
      <c r="O41" s="477"/>
      <c r="P41" s="477"/>
      <c r="Q41" s="478"/>
      <c r="R41" s="1"/>
      <c r="S41" s="1"/>
      <c r="T41" s="1"/>
      <c r="U41" s="1"/>
      <c r="V41" s="1"/>
    </row>
  </sheetData>
  <sheetProtection password="EDAE" sheet="1"/>
  <mergeCells count="18">
    <mergeCell ref="J3:K3"/>
    <mergeCell ref="P5:Q5"/>
    <mergeCell ref="B32:D34"/>
    <mergeCell ref="H32:Q41"/>
    <mergeCell ref="B35:D41"/>
    <mergeCell ref="F32:G32"/>
    <mergeCell ref="E35:E36"/>
    <mergeCell ref="F35:G35"/>
    <mergeCell ref="F36:G36"/>
    <mergeCell ref="F37:G37"/>
    <mergeCell ref="D2:F2"/>
    <mergeCell ref="E3:I3"/>
    <mergeCell ref="F38:G38"/>
    <mergeCell ref="F39:G39"/>
    <mergeCell ref="F40:G40"/>
    <mergeCell ref="F41:G41"/>
    <mergeCell ref="F33:G33"/>
    <mergeCell ref="F34:G34"/>
  </mergeCells>
  <dataValidations count="8">
    <dataValidation type="list" allowBlank="1" showInputMessage="1" showErrorMessage="1" sqref="P2">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rintOptions/>
  <pageMargins left="0.31496062992125984" right="0" top="0.3543307086614173" bottom="0.1968503937007874" header="0" footer="0"/>
  <pageSetup orientation="landscape" paperSize="9" r:id="rId1"/>
</worksheet>
</file>

<file path=xl/worksheets/sheet7.xml><?xml version="1.0" encoding="utf-8"?>
<worksheet xmlns="http://schemas.openxmlformats.org/spreadsheetml/2006/main" xmlns:r="http://schemas.openxmlformats.org/officeDocument/2006/relationships">
  <dimension ref="B1:AA44"/>
  <sheetViews>
    <sheetView view="pageBreakPreview" zoomScaleSheetLayoutView="100" zoomScalePageLayoutView="0" workbookViewId="0" topLeftCell="A1">
      <selection activeCell="M19" sqref="M19"/>
    </sheetView>
  </sheetViews>
  <sheetFormatPr defaultColWidth="9.140625" defaultRowHeight="15"/>
  <cols>
    <col min="1" max="1" width="3.00390625" style="0" customWidth="1"/>
    <col min="2" max="2" width="4.28125" style="0" customWidth="1"/>
    <col min="3" max="3" width="7.28125" style="0" customWidth="1"/>
    <col min="4" max="4" width="16.28125" style="0" customWidth="1"/>
    <col min="5" max="10" width="7.8515625" style="0" customWidth="1"/>
    <col min="11" max="11" width="7.421875" style="0" customWidth="1"/>
    <col min="12" max="13" width="3.140625" style="0" customWidth="1"/>
    <col min="14" max="14" width="7.7109375" style="0" customWidth="1"/>
    <col min="15" max="15" width="12.57421875" style="0" customWidth="1"/>
    <col min="16" max="16" width="6.57421875" style="0" customWidth="1"/>
    <col min="17" max="17" width="7.421875" style="0" customWidth="1"/>
    <col min="18" max="18" width="15.421875" style="0" customWidth="1"/>
    <col min="21" max="21" width="16.421875" style="0" customWidth="1"/>
  </cols>
  <sheetData>
    <row r="1" spans="2:15" s="6" customFormat="1" ht="19.5" customHeight="1">
      <c r="B1" s="479" t="s">
        <v>323</v>
      </c>
      <c r="C1" s="479"/>
      <c r="D1" s="479"/>
      <c r="E1" s="479"/>
      <c r="F1" s="479"/>
      <c r="G1" s="479"/>
      <c r="H1" s="479"/>
      <c r="I1" s="479"/>
      <c r="J1" s="479"/>
      <c r="K1" s="479"/>
      <c r="L1" s="479"/>
      <c r="M1" s="479"/>
      <c r="N1" s="242"/>
      <c r="O1" s="164"/>
    </row>
    <row r="2" spans="2:27" s="166" customFormat="1" ht="23.25" customHeight="1">
      <c r="B2" s="498" t="s">
        <v>425</v>
      </c>
      <c r="C2" s="498"/>
      <c r="D2" s="498"/>
      <c r="E2" s="498"/>
      <c r="F2" s="498"/>
      <c r="G2" s="498"/>
      <c r="H2" s="498"/>
      <c r="I2" s="498"/>
      <c r="J2" s="498"/>
      <c r="K2" s="498"/>
      <c r="L2" s="498"/>
      <c r="M2" s="498"/>
      <c r="N2" s="243"/>
      <c r="O2" s="165"/>
      <c r="P2" s="498" t="s">
        <v>210</v>
      </c>
      <c r="Q2" s="498"/>
      <c r="R2" s="498"/>
      <c r="S2" s="498"/>
      <c r="T2" s="498"/>
      <c r="U2" s="498"/>
      <c r="V2" s="165"/>
      <c r="W2" s="165"/>
      <c r="X2" s="165"/>
      <c r="Y2" s="165"/>
      <c r="Z2" s="165"/>
      <c r="AA2" s="165"/>
    </row>
    <row r="3" spans="3:16" s="6" customFormat="1" ht="21" customHeight="1" thickBot="1">
      <c r="C3" s="5"/>
      <c r="J3" s="492" t="s">
        <v>403</v>
      </c>
      <c r="K3" s="492"/>
      <c r="L3" s="492"/>
      <c r="M3" s="492"/>
      <c r="N3" s="244"/>
      <c r="O3" s="167"/>
      <c r="P3" s="240"/>
    </row>
    <row r="4" spans="2:19" s="6" customFormat="1" ht="13.5" customHeight="1">
      <c r="B4" s="480" t="s">
        <v>3</v>
      </c>
      <c r="C4" s="482" t="s">
        <v>108</v>
      </c>
      <c r="D4" s="484" t="s">
        <v>109</v>
      </c>
      <c r="E4" s="273" t="str">
        <f>'1月'!$D$3</f>
        <v>＃486</v>
      </c>
      <c r="F4" s="273" t="str">
        <f>'2月'!$D$3</f>
        <v>＃487</v>
      </c>
      <c r="G4" s="273" t="str">
        <f>'3月'!$D$3</f>
        <v>＃488</v>
      </c>
      <c r="H4" s="273" t="str">
        <f>'4月'!$D$3</f>
        <v>＃489</v>
      </c>
      <c r="I4" s="273" t="str">
        <f>'5月'!$D$3</f>
        <v>＃490</v>
      </c>
      <c r="J4" s="273" t="str">
        <f>'6月'!$D$3</f>
        <v>＃491</v>
      </c>
      <c r="K4" s="486" t="s">
        <v>110</v>
      </c>
      <c r="L4" s="488" t="s">
        <v>111</v>
      </c>
      <c r="M4" s="490" t="s">
        <v>112</v>
      </c>
      <c r="N4" s="275" t="str">
        <f>'参照ﾃﾞｰﾀ'!$T$12</f>
        <v>＃494</v>
      </c>
      <c r="O4" s="167"/>
      <c r="P4" s="230"/>
      <c r="Q4" s="345" t="s">
        <v>324</v>
      </c>
      <c r="R4" s="230"/>
      <c r="S4" s="230"/>
    </row>
    <row r="5" spans="2:20" s="6" customFormat="1" ht="13.5">
      <c r="B5" s="481"/>
      <c r="C5" s="483"/>
      <c r="D5" s="485"/>
      <c r="E5" s="168">
        <f>'1月'!$P$2</f>
        <v>42386</v>
      </c>
      <c r="F5" s="168">
        <f>'2月'!$P$2</f>
        <v>42421</v>
      </c>
      <c r="G5" s="168">
        <f>'3月'!$P$2</f>
        <v>42449</v>
      </c>
      <c r="H5" s="168">
        <f>'4月'!$P$2</f>
        <v>42477</v>
      </c>
      <c r="I5" s="168">
        <f>'5月'!$P$2</f>
        <v>42505</v>
      </c>
      <c r="J5" s="168">
        <f>'6月'!$P$2</f>
        <v>42540</v>
      </c>
      <c r="K5" s="487"/>
      <c r="L5" s="489"/>
      <c r="M5" s="491"/>
      <c r="N5" s="276">
        <f>'参照ﾃﾞｰﾀ'!$R$12</f>
        <v>42617</v>
      </c>
      <c r="O5" s="167"/>
      <c r="P5" s="230"/>
      <c r="Q5" s="230"/>
      <c r="R5" s="230"/>
      <c r="S5" s="230" t="s">
        <v>206</v>
      </c>
      <c r="T5" s="6" t="s">
        <v>207</v>
      </c>
    </row>
    <row r="6" spans="2:21" s="171" customFormat="1" ht="28.5">
      <c r="B6" s="481"/>
      <c r="C6" s="483"/>
      <c r="D6" s="485"/>
      <c r="E6" s="169" t="str">
        <f>'1月'!$N$2</f>
        <v>Ｋ</v>
      </c>
      <c r="F6" s="169" t="str">
        <f>'2月'!$N$2</f>
        <v>Ｂ</v>
      </c>
      <c r="G6" s="169" t="str">
        <f>'3月'!$N$2</f>
        <v>Ｄ</v>
      </c>
      <c r="H6" s="169" t="str">
        <f>'4月'!$N$2</f>
        <v>Ｅ</v>
      </c>
      <c r="I6" s="169" t="str">
        <f>'5月'!$N$2</f>
        <v>初島</v>
      </c>
      <c r="J6" s="169" t="str">
        <f>'6月'!$N$2</f>
        <v>Ｅ</v>
      </c>
      <c r="K6" s="487"/>
      <c r="L6" s="489"/>
      <c r="M6" s="491"/>
      <c r="N6" s="253" t="s">
        <v>174</v>
      </c>
      <c r="O6" s="170"/>
      <c r="P6" s="231" t="s">
        <v>3</v>
      </c>
      <c r="Q6" s="232" t="s">
        <v>108</v>
      </c>
      <c r="R6" s="233" t="s">
        <v>109</v>
      </c>
      <c r="S6" s="233" t="s">
        <v>110</v>
      </c>
      <c r="T6" s="233" t="s">
        <v>208</v>
      </c>
      <c r="U6" s="233" t="s">
        <v>209</v>
      </c>
    </row>
    <row r="7" spans="2:26" s="6" customFormat="1" ht="14.25">
      <c r="B7" s="254" t="s">
        <v>142</v>
      </c>
      <c r="C7" s="49">
        <v>321</v>
      </c>
      <c r="D7" s="50" t="str">
        <f aca="true" t="shared" si="0" ref="D7:D29">IF(ISBLANK(C7),"",VLOOKUP(C7,各艇データ,2,FALSE))</f>
        <v>かまくら</v>
      </c>
      <c r="E7" s="376">
        <v>13.7</v>
      </c>
      <c r="F7" s="174">
        <v>12.5</v>
      </c>
      <c r="G7" s="174">
        <v>28.1</v>
      </c>
      <c r="H7" s="174"/>
      <c r="I7" s="174">
        <v>40</v>
      </c>
      <c r="J7" s="174">
        <v>17.8</v>
      </c>
      <c r="K7" s="175">
        <f aca="true" t="shared" si="1" ref="K7:K29">SUM(E7:J7)</f>
        <v>112.1</v>
      </c>
      <c r="L7" s="176" t="s">
        <v>405</v>
      </c>
      <c r="M7" s="246" t="s">
        <v>406</v>
      </c>
      <c r="N7" s="255"/>
      <c r="O7" s="250"/>
      <c r="P7" s="172" t="s">
        <v>114</v>
      </c>
      <c r="Q7" s="7"/>
      <c r="R7" s="173"/>
      <c r="S7" s="234"/>
      <c r="T7" s="234"/>
      <c r="U7" s="234"/>
      <c r="Y7" s="234">
        <v>106.46323529411765</v>
      </c>
      <c r="Z7" s="234">
        <v>132.8234126984127</v>
      </c>
    </row>
    <row r="8" spans="2:26" s="6" customFormat="1" ht="14.25">
      <c r="B8" s="256" t="s">
        <v>115</v>
      </c>
      <c r="C8" s="14">
        <v>1611</v>
      </c>
      <c r="D8" s="58" t="str">
        <f t="shared" si="0"/>
        <v>ﾈﾌﾟﾁｭｰﾝXⅡ</v>
      </c>
      <c r="E8" s="179">
        <v>11.6</v>
      </c>
      <c r="F8" s="179">
        <v>16.3</v>
      </c>
      <c r="G8" s="179">
        <v>30</v>
      </c>
      <c r="H8" s="193"/>
      <c r="I8" s="179">
        <v>36.3</v>
      </c>
      <c r="J8" s="179">
        <v>16.7</v>
      </c>
      <c r="K8" s="181">
        <f t="shared" si="1"/>
        <v>110.89999999999999</v>
      </c>
      <c r="L8" s="182" t="s">
        <v>405</v>
      </c>
      <c r="M8" s="247" t="s">
        <v>406</v>
      </c>
      <c r="N8" s="257"/>
      <c r="O8" s="251"/>
      <c r="P8" s="178" t="s">
        <v>115</v>
      </c>
      <c r="Q8" s="9"/>
      <c r="R8" s="173"/>
      <c r="S8" s="234"/>
      <c r="T8" s="234"/>
      <c r="U8" s="234"/>
      <c r="Y8" s="234">
        <v>107.53349673202615</v>
      </c>
      <c r="Z8" s="234">
        <v>113.0436507936508</v>
      </c>
    </row>
    <row r="9" spans="2:26" s="6" customFormat="1" ht="14.25">
      <c r="B9" s="256" t="s">
        <v>116</v>
      </c>
      <c r="C9" s="14">
        <v>5752</v>
      </c>
      <c r="D9" s="58" t="str">
        <f t="shared" si="0"/>
        <v>アルファ</v>
      </c>
      <c r="E9" s="179">
        <v>14.7</v>
      </c>
      <c r="F9" s="387">
        <v>11.3</v>
      </c>
      <c r="G9" s="179">
        <v>24.4</v>
      </c>
      <c r="H9" s="179"/>
      <c r="I9" s="179">
        <v>28.8</v>
      </c>
      <c r="J9" s="179">
        <v>18.9</v>
      </c>
      <c r="K9" s="181">
        <f t="shared" si="1"/>
        <v>98.1</v>
      </c>
      <c r="L9" s="182" t="s">
        <v>405</v>
      </c>
      <c r="M9" s="247" t="s">
        <v>406</v>
      </c>
      <c r="N9" s="257"/>
      <c r="O9" s="250"/>
      <c r="P9" s="178" t="s">
        <v>116</v>
      </c>
      <c r="Q9" s="9"/>
      <c r="R9" s="173"/>
      <c r="S9" s="234"/>
      <c r="T9" s="234"/>
      <c r="U9" s="234"/>
      <c r="Y9" s="234">
        <v>121.89133986928104</v>
      </c>
      <c r="Z9" s="234">
        <v>87.9920634920635</v>
      </c>
    </row>
    <row r="10" spans="2:26" s="6" customFormat="1" ht="14.25">
      <c r="B10" s="256" t="s">
        <v>117</v>
      </c>
      <c r="C10" s="14">
        <v>5755</v>
      </c>
      <c r="D10" s="58" t="str">
        <f t="shared" si="0"/>
        <v>ランカ</v>
      </c>
      <c r="E10" s="179">
        <v>20</v>
      </c>
      <c r="F10" s="179">
        <v>20</v>
      </c>
      <c r="G10" s="179">
        <v>20.6</v>
      </c>
      <c r="H10" s="179"/>
      <c r="I10" s="179">
        <v>13.8</v>
      </c>
      <c r="J10" s="179">
        <v>11.1</v>
      </c>
      <c r="K10" s="181">
        <f t="shared" si="1"/>
        <v>85.5</v>
      </c>
      <c r="L10" s="182" t="s">
        <v>405</v>
      </c>
      <c r="M10" s="247" t="s">
        <v>406</v>
      </c>
      <c r="N10" s="257"/>
      <c r="O10" s="250"/>
      <c r="P10" s="178" t="s">
        <v>117</v>
      </c>
      <c r="Q10" s="9"/>
      <c r="R10" s="173"/>
      <c r="S10" s="234"/>
      <c r="T10" s="234"/>
      <c r="U10" s="234"/>
      <c r="Y10" s="234">
        <v>93.90359477124183</v>
      </c>
      <c r="Z10" s="234">
        <v>107.25992063492063</v>
      </c>
    </row>
    <row r="11" spans="2:26" s="6" customFormat="1" ht="14.25">
      <c r="B11" s="258" t="s">
        <v>143</v>
      </c>
      <c r="C11" s="16">
        <v>1733</v>
      </c>
      <c r="D11" s="241" t="str">
        <f t="shared" si="0"/>
        <v>ケロニア</v>
      </c>
      <c r="E11" s="186">
        <v>16.8</v>
      </c>
      <c r="F11" s="186">
        <v>18.8</v>
      </c>
      <c r="G11" s="186">
        <v>15</v>
      </c>
      <c r="H11" s="186"/>
      <c r="I11" s="186">
        <v>21.3</v>
      </c>
      <c r="J11" s="186">
        <v>13.3</v>
      </c>
      <c r="K11" s="187">
        <f t="shared" si="1"/>
        <v>85.2</v>
      </c>
      <c r="L11" s="188" t="s">
        <v>405</v>
      </c>
      <c r="M11" s="248" t="s">
        <v>406</v>
      </c>
      <c r="N11" s="259"/>
      <c r="O11" s="250"/>
      <c r="P11" s="184" t="s">
        <v>118</v>
      </c>
      <c r="Q11" s="11"/>
      <c r="R11" s="185"/>
      <c r="S11" s="235"/>
      <c r="T11" s="235"/>
      <c r="U11" s="235"/>
      <c r="Y11" s="235">
        <v>123.16993464052288</v>
      </c>
      <c r="Z11" s="235">
        <v>70.30357142857143</v>
      </c>
    </row>
    <row r="12" spans="2:26" s="6" customFormat="1" ht="14.25">
      <c r="B12" s="254" t="s">
        <v>119</v>
      </c>
      <c r="C12" s="7">
        <v>1985</v>
      </c>
      <c r="D12" s="50" t="str">
        <f t="shared" si="0"/>
        <v>波勝</v>
      </c>
      <c r="E12" s="376">
        <v>1</v>
      </c>
      <c r="F12" s="174">
        <v>10</v>
      </c>
      <c r="G12" s="174">
        <v>26.3</v>
      </c>
      <c r="H12" s="174"/>
      <c r="I12" s="174">
        <v>32.5</v>
      </c>
      <c r="J12" s="174">
        <v>14.4</v>
      </c>
      <c r="K12" s="191">
        <f t="shared" si="1"/>
        <v>84.2</v>
      </c>
      <c r="L12" s="192" t="s">
        <v>405</v>
      </c>
      <c r="M12" s="249" t="s">
        <v>406</v>
      </c>
      <c r="N12" s="260"/>
      <c r="O12" s="250"/>
      <c r="P12" s="172" t="s">
        <v>119</v>
      </c>
      <c r="Q12" s="189"/>
      <c r="R12" s="190"/>
      <c r="S12" s="236"/>
      <c r="T12" s="236"/>
      <c r="U12" s="236"/>
      <c r="Y12" s="236">
        <v>87.65686274509804</v>
      </c>
      <c r="Z12" s="236">
        <v>68.83928571428572</v>
      </c>
    </row>
    <row r="13" spans="2:26" s="6" customFormat="1" ht="14.25">
      <c r="B13" s="256" t="s">
        <v>120</v>
      </c>
      <c r="C13" s="14">
        <v>312</v>
      </c>
      <c r="D13" s="58" t="str">
        <f t="shared" si="0"/>
        <v>はやとり</v>
      </c>
      <c r="E13" s="179">
        <v>2.1</v>
      </c>
      <c r="F13" s="183">
        <v>13.8</v>
      </c>
      <c r="G13" s="179">
        <v>22.5</v>
      </c>
      <c r="H13" s="179"/>
      <c r="I13" s="179">
        <v>17.5</v>
      </c>
      <c r="J13" s="179">
        <v>20</v>
      </c>
      <c r="K13" s="181">
        <f t="shared" si="1"/>
        <v>75.9</v>
      </c>
      <c r="L13" s="182" t="s">
        <v>405</v>
      </c>
      <c r="M13" s="247" t="s">
        <v>406</v>
      </c>
      <c r="N13" s="257"/>
      <c r="O13" s="250"/>
      <c r="P13" s="178" t="s">
        <v>120</v>
      </c>
      <c r="Q13" s="9"/>
      <c r="R13" s="173"/>
      <c r="S13" s="234"/>
      <c r="T13" s="234"/>
      <c r="U13" s="234"/>
      <c r="Y13" s="234">
        <v>103.72385620915033</v>
      </c>
      <c r="Z13" s="234">
        <v>43</v>
      </c>
    </row>
    <row r="14" spans="2:26" s="6" customFormat="1" ht="14.25">
      <c r="B14" s="256" t="s">
        <v>121</v>
      </c>
      <c r="C14" s="14">
        <v>162</v>
      </c>
      <c r="D14" s="58" t="str">
        <f t="shared" si="0"/>
        <v>ﾌｪﾆｯｸｽ</v>
      </c>
      <c r="E14" s="344">
        <v>15.8</v>
      </c>
      <c r="F14" s="179">
        <v>10</v>
      </c>
      <c r="G14" s="344">
        <v>1</v>
      </c>
      <c r="H14" s="181"/>
      <c r="I14" s="344">
        <v>25</v>
      </c>
      <c r="J14" s="179">
        <v>6.7</v>
      </c>
      <c r="K14" s="181">
        <f t="shared" si="1"/>
        <v>58.5</v>
      </c>
      <c r="L14" s="182" t="s">
        <v>405</v>
      </c>
      <c r="M14" s="247" t="s">
        <v>406</v>
      </c>
      <c r="N14" s="257"/>
      <c r="O14" s="250"/>
      <c r="P14" s="178" t="s">
        <v>121</v>
      </c>
      <c r="Q14" s="9"/>
      <c r="R14" s="173"/>
      <c r="S14" s="234"/>
      <c r="T14" s="234"/>
      <c r="U14" s="234"/>
      <c r="Y14" s="234">
        <v>48.94117647058824</v>
      </c>
      <c r="Z14" s="234">
        <v>83.375</v>
      </c>
    </row>
    <row r="15" spans="2:26" s="6" customFormat="1" ht="14.25">
      <c r="B15" s="256" t="s">
        <v>122</v>
      </c>
      <c r="C15" s="14">
        <v>131</v>
      </c>
      <c r="D15" s="58" t="str">
        <f t="shared" si="0"/>
        <v>ふるたか</v>
      </c>
      <c r="E15" s="179">
        <v>12.6</v>
      </c>
      <c r="F15" s="179">
        <v>5</v>
      </c>
      <c r="G15" s="180">
        <v>11.3</v>
      </c>
      <c r="H15" s="179"/>
      <c r="I15" s="183">
        <v>20</v>
      </c>
      <c r="J15" s="179">
        <v>4.4</v>
      </c>
      <c r="K15" s="181">
        <f t="shared" si="1"/>
        <v>53.300000000000004</v>
      </c>
      <c r="L15" s="182" t="s">
        <v>405</v>
      </c>
      <c r="M15" s="247" t="s">
        <v>406</v>
      </c>
      <c r="N15" s="257"/>
      <c r="O15" s="251"/>
      <c r="P15" s="178" t="s">
        <v>122</v>
      </c>
      <c r="Q15" s="9"/>
      <c r="R15" s="173"/>
      <c r="S15" s="234"/>
      <c r="T15" s="234"/>
      <c r="U15" s="234"/>
      <c r="Y15" s="234">
        <v>64.83006535947712</v>
      </c>
      <c r="Z15" s="234">
        <v>59.904761904761905</v>
      </c>
    </row>
    <row r="16" spans="2:26" s="6" customFormat="1" ht="14.25">
      <c r="B16" s="258" t="s">
        <v>123</v>
      </c>
      <c r="C16" s="16">
        <v>4400</v>
      </c>
      <c r="D16" s="63" t="str">
        <f t="shared" si="0"/>
        <v>アイデアル</v>
      </c>
      <c r="E16" s="186">
        <v>6.3</v>
      </c>
      <c r="F16" s="186">
        <v>7.5</v>
      </c>
      <c r="G16" s="388">
        <v>18.8</v>
      </c>
      <c r="H16" s="388"/>
      <c r="I16" s="388">
        <v>10</v>
      </c>
      <c r="J16" s="389">
        <v>1</v>
      </c>
      <c r="K16" s="187">
        <f t="shared" si="1"/>
        <v>43.6</v>
      </c>
      <c r="L16" s="188" t="s">
        <v>414</v>
      </c>
      <c r="M16" s="248" t="s">
        <v>406</v>
      </c>
      <c r="N16" s="259"/>
      <c r="O16" s="250" t="s">
        <v>202</v>
      </c>
      <c r="P16" s="184" t="s">
        <v>123</v>
      </c>
      <c r="Q16" s="11"/>
      <c r="R16" s="185"/>
      <c r="S16" s="235"/>
      <c r="T16" s="235"/>
      <c r="U16" s="235"/>
      <c r="Y16" s="235">
        <v>59.40604575163399</v>
      </c>
      <c r="Z16" s="235">
        <v>63.80555555555556</v>
      </c>
    </row>
    <row r="17" spans="2:26" s="6" customFormat="1" ht="14.25">
      <c r="B17" s="254" t="s">
        <v>144</v>
      </c>
      <c r="C17" s="49">
        <v>346</v>
      </c>
      <c r="D17" s="145" t="str">
        <f t="shared" si="0"/>
        <v>飛車角</v>
      </c>
      <c r="E17" s="174">
        <v>18.9</v>
      </c>
      <c r="F17" s="174">
        <v>8.8</v>
      </c>
      <c r="G17" s="174">
        <v>5.6</v>
      </c>
      <c r="H17" s="174"/>
      <c r="I17" s="174"/>
      <c r="J17" s="174">
        <v>8.9</v>
      </c>
      <c r="K17" s="191">
        <f t="shared" si="1"/>
        <v>42.199999999999996</v>
      </c>
      <c r="L17" s="192"/>
      <c r="M17" s="249" t="s">
        <v>406</v>
      </c>
      <c r="N17" s="260"/>
      <c r="O17" s="251"/>
      <c r="P17" s="172" t="s">
        <v>124</v>
      </c>
      <c r="Q17" s="189"/>
      <c r="R17" s="190"/>
      <c r="S17" s="236"/>
      <c r="T17" s="236"/>
      <c r="U17" s="236"/>
      <c r="Y17" s="236">
        <v>44.64297385620915</v>
      </c>
      <c r="Z17" s="236">
        <v>47.00396825396825</v>
      </c>
    </row>
    <row r="18" spans="2:26" s="6" customFormat="1" ht="14.25">
      <c r="B18" s="256" t="s">
        <v>145</v>
      </c>
      <c r="C18" s="9">
        <v>380</v>
      </c>
      <c r="D18" s="145" t="str">
        <f t="shared" si="0"/>
        <v>テティス</v>
      </c>
      <c r="E18" s="179"/>
      <c r="F18" s="179"/>
      <c r="G18" s="179">
        <v>16.9</v>
      </c>
      <c r="H18" s="179"/>
      <c r="I18" s="179"/>
      <c r="J18" s="179">
        <v>15.6</v>
      </c>
      <c r="K18" s="181">
        <f t="shared" si="1"/>
        <v>32.5</v>
      </c>
      <c r="L18" s="182"/>
      <c r="M18" s="247" t="s">
        <v>406</v>
      </c>
      <c r="N18" s="257"/>
      <c r="O18" s="250"/>
      <c r="P18" s="178" t="s">
        <v>125</v>
      </c>
      <c r="Q18" s="9"/>
      <c r="R18" s="173"/>
      <c r="S18" s="234"/>
      <c r="T18" s="234"/>
      <c r="U18" s="234"/>
      <c r="Y18" s="234">
        <v>33.13725490196079</v>
      </c>
      <c r="Z18" s="234">
        <v>54</v>
      </c>
    </row>
    <row r="19" spans="2:26" s="6" customFormat="1" ht="14.25">
      <c r="B19" s="256" t="s">
        <v>126</v>
      </c>
      <c r="C19" s="14">
        <v>4323</v>
      </c>
      <c r="D19" s="58" t="str">
        <f t="shared" si="0"/>
        <v>飛天</v>
      </c>
      <c r="E19" s="180">
        <v>9.5</v>
      </c>
      <c r="F19" s="179"/>
      <c r="G19" s="179">
        <v>13.1</v>
      </c>
      <c r="H19" s="179"/>
      <c r="I19" s="179"/>
      <c r="J19" s="179">
        <v>7.8</v>
      </c>
      <c r="K19" s="181">
        <f t="shared" si="1"/>
        <v>30.400000000000002</v>
      </c>
      <c r="L19" s="182"/>
      <c r="M19" s="247" t="s">
        <v>406</v>
      </c>
      <c r="N19" s="257"/>
      <c r="O19" s="250"/>
      <c r="P19" s="178" t="s">
        <v>126</v>
      </c>
      <c r="Q19" s="9"/>
      <c r="R19" s="173"/>
      <c r="S19" s="234"/>
      <c r="T19" s="234"/>
      <c r="U19" s="234"/>
      <c r="Y19" s="234">
        <v>32.96895424836601</v>
      </c>
      <c r="Z19" s="234">
        <v>24.857142857142858</v>
      </c>
    </row>
    <row r="20" spans="2:26" s="6" customFormat="1" ht="14.25">
      <c r="B20" s="256" t="s">
        <v>127</v>
      </c>
      <c r="C20" s="14">
        <v>2212</v>
      </c>
      <c r="D20" s="58" t="str">
        <f t="shared" si="0"/>
        <v>衣笠</v>
      </c>
      <c r="E20" s="179">
        <v>10.5</v>
      </c>
      <c r="F20" s="179">
        <v>10</v>
      </c>
      <c r="G20" s="179">
        <v>7.5</v>
      </c>
      <c r="H20" s="179"/>
      <c r="I20" s="179"/>
      <c r="J20" s="179">
        <v>2.2</v>
      </c>
      <c r="K20" s="181">
        <f t="shared" si="1"/>
        <v>30.2</v>
      </c>
      <c r="L20" s="182"/>
      <c r="M20" s="247" t="s">
        <v>406</v>
      </c>
      <c r="N20" s="257"/>
      <c r="O20" s="251"/>
      <c r="P20" s="178" t="s">
        <v>127</v>
      </c>
      <c r="Q20" s="9"/>
      <c r="R20" s="173"/>
      <c r="S20" s="234"/>
      <c r="T20" s="234"/>
      <c r="U20" s="234"/>
      <c r="Y20" s="234">
        <v>56.39705882352941</v>
      </c>
      <c r="Z20" s="234"/>
    </row>
    <row r="21" spans="2:26" s="6" customFormat="1" ht="14.25">
      <c r="B21" s="258" t="s">
        <v>128</v>
      </c>
      <c r="C21" s="16">
        <v>6766</v>
      </c>
      <c r="D21" s="241" t="str">
        <f t="shared" si="0"/>
        <v>くろしお</v>
      </c>
      <c r="E21" s="391">
        <v>1.1</v>
      </c>
      <c r="F21" s="375">
        <v>15</v>
      </c>
      <c r="G21" s="186"/>
      <c r="H21" s="186"/>
      <c r="I21" s="186"/>
      <c r="J21" s="186">
        <v>10</v>
      </c>
      <c r="K21" s="187">
        <f t="shared" si="1"/>
        <v>26.1</v>
      </c>
      <c r="L21" s="188"/>
      <c r="M21" s="248" t="s">
        <v>406</v>
      </c>
      <c r="N21" s="259"/>
      <c r="O21" s="250"/>
      <c r="P21" s="184" t="s">
        <v>128</v>
      </c>
      <c r="Q21" s="11"/>
      <c r="R21" s="185"/>
      <c r="S21" s="235"/>
      <c r="T21" s="235"/>
      <c r="U21" s="235"/>
      <c r="Y21" s="235">
        <v>20.666666666666668</v>
      </c>
      <c r="Z21" s="235">
        <v>34.17460317460318</v>
      </c>
    </row>
    <row r="22" spans="2:26" s="6" customFormat="1" ht="14.25">
      <c r="B22" s="254" t="s">
        <v>129</v>
      </c>
      <c r="C22" s="18">
        <v>6714</v>
      </c>
      <c r="D22" s="50" t="str">
        <f t="shared" si="0"/>
        <v>HAURAKI</v>
      </c>
      <c r="E22" s="314">
        <v>7.4</v>
      </c>
      <c r="F22" s="174">
        <v>17.5</v>
      </c>
      <c r="G22" s="174"/>
      <c r="H22" s="174"/>
      <c r="I22" s="174"/>
      <c r="J22" s="174"/>
      <c r="K22" s="191">
        <f t="shared" si="1"/>
        <v>24.9</v>
      </c>
      <c r="L22" s="192"/>
      <c r="M22" s="249" t="s">
        <v>407</v>
      </c>
      <c r="N22" s="260"/>
      <c r="O22" s="250"/>
      <c r="P22" s="172" t="s">
        <v>129</v>
      </c>
      <c r="Q22" s="189"/>
      <c r="R22" s="190"/>
      <c r="S22" s="236"/>
      <c r="T22" s="236"/>
      <c r="U22" s="236"/>
      <c r="Y22" s="236">
        <v>45.90277777777778</v>
      </c>
      <c r="Z22" s="236"/>
    </row>
    <row r="23" spans="2:26" s="6" customFormat="1" ht="14.25">
      <c r="B23" s="256" t="s">
        <v>130</v>
      </c>
      <c r="C23" s="14">
        <v>4469</v>
      </c>
      <c r="D23" s="58" t="str">
        <f t="shared" si="0"/>
        <v>未央</v>
      </c>
      <c r="E23" s="180">
        <v>17.9</v>
      </c>
      <c r="F23" s="179"/>
      <c r="G23" s="179"/>
      <c r="H23" s="179"/>
      <c r="I23" s="180"/>
      <c r="J23" s="179">
        <v>5.6</v>
      </c>
      <c r="K23" s="181">
        <f t="shared" si="1"/>
        <v>23.5</v>
      </c>
      <c r="L23" s="182"/>
      <c r="M23" s="249" t="s">
        <v>406</v>
      </c>
      <c r="N23" s="260"/>
      <c r="O23" s="251"/>
      <c r="P23" s="178" t="s">
        <v>130</v>
      </c>
      <c r="Q23" s="9"/>
      <c r="R23" s="173"/>
      <c r="S23" s="234"/>
      <c r="T23" s="234"/>
      <c r="U23" s="234"/>
      <c r="Y23" s="234">
        <v>33.55555555555556</v>
      </c>
      <c r="Z23" s="234">
        <v>9.928571428571429</v>
      </c>
    </row>
    <row r="24" spans="2:26" s="6" customFormat="1" ht="14.25">
      <c r="B24" s="256" t="s">
        <v>131</v>
      </c>
      <c r="C24" s="14">
        <v>2759</v>
      </c>
      <c r="D24" s="58" t="str">
        <f t="shared" si="0"/>
        <v>イクソラⅢ</v>
      </c>
      <c r="E24" s="180">
        <v>8.4</v>
      </c>
      <c r="F24" s="179">
        <v>6.3</v>
      </c>
      <c r="G24" s="179">
        <v>3.75</v>
      </c>
      <c r="H24" s="179"/>
      <c r="I24" s="179"/>
      <c r="J24" s="180">
        <v>3.3</v>
      </c>
      <c r="K24" s="181">
        <f t="shared" si="1"/>
        <v>21.75</v>
      </c>
      <c r="L24" s="182"/>
      <c r="M24" s="247" t="s">
        <v>406</v>
      </c>
      <c r="N24" s="257"/>
      <c r="O24" s="251"/>
      <c r="P24" s="178" t="s">
        <v>131</v>
      </c>
      <c r="Q24" s="9"/>
      <c r="R24" s="173"/>
      <c r="S24" s="234"/>
      <c r="T24" s="234"/>
      <c r="U24" s="234"/>
      <c r="Y24" s="234">
        <v>27.509803921568626</v>
      </c>
      <c r="Z24" s="234">
        <v>14.577380952380953</v>
      </c>
    </row>
    <row r="25" spans="2:26" s="6" customFormat="1" ht="14.25">
      <c r="B25" s="256" t="s">
        <v>132</v>
      </c>
      <c r="C25" s="9">
        <v>199</v>
      </c>
      <c r="D25" s="58" t="str">
        <f t="shared" si="0"/>
        <v>サ－モン4</v>
      </c>
      <c r="E25" s="179"/>
      <c r="F25" s="179"/>
      <c r="G25" s="179">
        <v>9.4</v>
      </c>
      <c r="H25" s="183"/>
      <c r="I25" s="179"/>
      <c r="J25" s="179">
        <v>12.2</v>
      </c>
      <c r="K25" s="181">
        <f t="shared" si="1"/>
        <v>21.6</v>
      </c>
      <c r="L25" s="182"/>
      <c r="M25" s="247" t="s">
        <v>408</v>
      </c>
      <c r="N25" s="257"/>
      <c r="O25" s="252"/>
      <c r="P25" s="178" t="s">
        <v>132</v>
      </c>
      <c r="Q25" s="9"/>
      <c r="R25" s="173"/>
      <c r="S25" s="234"/>
      <c r="T25" s="234"/>
      <c r="U25" s="234"/>
      <c r="Y25" s="234">
        <v>21.294117647058822</v>
      </c>
      <c r="Z25" s="234">
        <v>20.375</v>
      </c>
    </row>
    <row r="26" spans="2:26" s="6" customFormat="1" ht="14.25">
      <c r="B26" s="258" t="s">
        <v>146</v>
      </c>
      <c r="C26" s="16">
        <v>1545</v>
      </c>
      <c r="D26" s="63" t="str">
        <f t="shared" si="0"/>
        <v>ﾌﾘｰﾄﾞﾘｽⅦ</v>
      </c>
      <c r="E26" s="186">
        <v>4.2</v>
      </c>
      <c r="F26" s="186">
        <v>1</v>
      </c>
      <c r="G26" s="186">
        <v>1.875</v>
      </c>
      <c r="H26" s="186"/>
      <c r="I26" s="186"/>
      <c r="J26" s="186"/>
      <c r="K26" s="187">
        <f t="shared" si="1"/>
        <v>7.075</v>
      </c>
      <c r="L26" s="188"/>
      <c r="M26" s="248" t="s">
        <v>406</v>
      </c>
      <c r="N26" s="259"/>
      <c r="O26" s="251"/>
      <c r="P26" s="184" t="s">
        <v>133</v>
      </c>
      <c r="Q26" s="11"/>
      <c r="R26" s="185"/>
      <c r="S26" s="235"/>
      <c r="T26" s="235"/>
      <c r="U26" s="235"/>
      <c r="Y26" s="235"/>
      <c r="Z26" s="235">
        <v>30.666666666666664</v>
      </c>
    </row>
    <row r="27" spans="2:26" s="6" customFormat="1" ht="14.25">
      <c r="B27" s="254" t="s">
        <v>134</v>
      </c>
      <c r="C27" s="14">
        <v>5496</v>
      </c>
      <c r="D27" s="145" t="str">
        <f t="shared" si="0"/>
        <v>桜工</v>
      </c>
      <c r="E27" s="174">
        <v>5.3</v>
      </c>
      <c r="F27" s="376"/>
      <c r="G27" s="174"/>
      <c r="H27" s="174"/>
      <c r="I27" s="174"/>
      <c r="J27" s="174"/>
      <c r="K27" s="191">
        <f t="shared" si="1"/>
        <v>5.3</v>
      </c>
      <c r="L27" s="192"/>
      <c r="M27" s="249"/>
      <c r="N27" s="260"/>
      <c r="O27" s="251"/>
      <c r="P27" s="172" t="s">
        <v>134</v>
      </c>
      <c r="Q27" s="9"/>
      <c r="R27" s="190"/>
      <c r="S27" s="236"/>
      <c r="T27" s="236"/>
      <c r="U27" s="236"/>
      <c r="Y27" s="236"/>
      <c r="Z27" s="236">
        <v>29.444444444444443</v>
      </c>
    </row>
    <row r="28" spans="2:26" s="6" customFormat="1" ht="14.25">
      <c r="B28" s="256" t="s">
        <v>135</v>
      </c>
      <c r="C28" s="390">
        <v>3387</v>
      </c>
      <c r="D28" s="58" t="str">
        <f t="shared" si="0"/>
        <v>BASIC</v>
      </c>
      <c r="E28" s="179">
        <v>3.2</v>
      </c>
      <c r="F28" s="193"/>
      <c r="G28" s="183"/>
      <c r="H28" s="180"/>
      <c r="I28" s="179"/>
      <c r="J28" s="179"/>
      <c r="K28" s="181">
        <f t="shared" si="1"/>
        <v>3.2</v>
      </c>
      <c r="L28" s="182"/>
      <c r="M28" s="247"/>
      <c r="N28" s="257"/>
      <c r="O28" s="250"/>
      <c r="P28" s="178" t="s">
        <v>135</v>
      </c>
      <c r="Q28" s="189"/>
      <c r="R28" s="173"/>
      <c r="S28" s="234"/>
      <c r="T28" s="234"/>
      <c r="U28" s="234"/>
      <c r="Y28" s="234">
        <v>18.558823529411764</v>
      </c>
      <c r="Z28" s="234">
        <v>5.333333333333333</v>
      </c>
    </row>
    <row r="29" spans="2:26" s="6" customFormat="1" ht="14.25">
      <c r="B29" s="256" t="s">
        <v>136</v>
      </c>
      <c r="C29" s="9">
        <v>4010</v>
      </c>
      <c r="D29" s="58" t="str">
        <f t="shared" si="0"/>
        <v>ナジャ</v>
      </c>
      <c r="E29" s="179"/>
      <c r="F29" s="183"/>
      <c r="G29" s="183"/>
      <c r="H29" s="179"/>
      <c r="I29" s="179"/>
      <c r="J29" s="179">
        <v>1.1</v>
      </c>
      <c r="K29" s="181">
        <f t="shared" si="1"/>
        <v>1.1</v>
      </c>
      <c r="L29" s="182"/>
      <c r="M29" s="247"/>
      <c r="N29" s="257"/>
      <c r="O29" s="250"/>
      <c r="P29" s="178" t="s">
        <v>136</v>
      </c>
      <c r="Q29" s="9"/>
      <c r="R29" s="173"/>
      <c r="S29" s="234"/>
      <c r="T29" s="234"/>
      <c r="U29" s="234"/>
      <c r="Y29" s="234">
        <v>8.352941176470589</v>
      </c>
      <c r="Z29" s="234">
        <v>8.75</v>
      </c>
    </row>
    <row r="30" spans="2:26" s="6" customFormat="1" ht="14.25">
      <c r="B30" s="256" t="s">
        <v>137</v>
      </c>
      <c r="C30" s="9"/>
      <c r="D30" s="58"/>
      <c r="E30" s="179"/>
      <c r="F30" s="179"/>
      <c r="G30" s="179"/>
      <c r="H30" s="179"/>
      <c r="I30" s="179"/>
      <c r="J30" s="180"/>
      <c r="K30" s="181"/>
      <c r="L30" s="182"/>
      <c r="M30" s="247"/>
      <c r="N30" s="257"/>
      <c r="O30" s="250"/>
      <c r="P30" s="178" t="s">
        <v>137</v>
      </c>
      <c r="Q30" s="9"/>
      <c r="R30" s="173"/>
      <c r="S30" s="234"/>
      <c r="T30" s="234"/>
      <c r="U30" s="234"/>
      <c r="Y30" s="234">
        <v>15.625</v>
      </c>
      <c r="Z30" s="234"/>
    </row>
    <row r="31" spans="2:26" s="6" customFormat="1" ht="15" thickBot="1">
      <c r="B31" s="265" t="s">
        <v>138</v>
      </c>
      <c r="C31" s="266"/>
      <c r="D31" s="267">
        <f>IF(ISBLANK(C31),"",VLOOKUP(C31,各艇データ,2,FALSE))</f>
      </c>
      <c r="E31" s="268"/>
      <c r="F31" s="268"/>
      <c r="G31" s="268"/>
      <c r="H31" s="268"/>
      <c r="I31" s="268"/>
      <c r="J31" s="268"/>
      <c r="K31" s="269"/>
      <c r="L31" s="270"/>
      <c r="M31" s="271"/>
      <c r="N31" s="272"/>
      <c r="O31" s="250"/>
      <c r="P31" s="184" t="s">
        <v>138</v>
      </c>
      <c r="Q31" s="11"/>
      <c r="R31" s="185"/>
      <c r="S31" s="235"/>
      <c r="T31" s="235"/>
      <c r="U31" s="235"/>
      <c r="Y31" s="235">
        <v>14</v>
      </c>
      <c r="Z31" s="235"/>
    </row>
    <row r="32" spans="2:26" s="6" customFormat="1" ht="15.75" thickBot="1" thickTop="1">
      <c r="B32" s="494" t="s">
        <v>139</v>
      </c>
      <c r="C32" s="495"/>
      <c r="D32" s="496"/>
      <c r="E32" s="261">
        <f>COUNT(E7:E31)</f>
        <v>20</v>
      </c>
      <c r="F32" s="261">
        <f>COUNT(F7:F31)</f>
        <v>16</v>
      </c>
      <c r="G32" s="261">
        <f>COUNT(G7:G31)</f>
        <v>17</v>
      </c>
      <c r="H32" s="261">
        <f>COUNT(H7:H31)</f>
        <v>0</v>
      </c>
      <c r="I32" s="261">
        <f>COUNT(I7:I31)</f>
        <v>10</v>
      </c>
      <c r="J32" s="261">
        <v>18</v>
      </c>
      <c r="K32" s="261"/>
      <c r="L32" s="262"/>
      <c r="M32" s="263"/>
      <c r="N32" s="264"/>
      <c r="O32" s="250"/>
      <c r="P32" s="172" t="s">
        <v>157</v>
      </c>
      <c r="Q32" s="189"/>
      <c r="R32" s="190"/>
      <c r="S32" s="236"/>
      <c r="T32" s="236"/>
      <c r="U32" s="236"/>
      <c r="Y32" s="236">
        <v>8</v>
      </c>
      <c r="Z32" s="236">
        <v>2</v>
      </c>
    </row>
    <row r="33" spans="2:26" s="6" customFormat="1" ht="14.25">
      <c r="B33" s="5" t="s">
        <v>147</v>
      </c>
      <c r="C33" s="5"/>
      <c r="O33" s="341"/>
      <c r="P33" s="178" t="s">
        <v>158</v>
      </c>
      <c r="Q33" s="9"/>
      <c r="R33" s="173"/>
      <c r="S33" s="234"/>
      <c r="T33" s="234"/>
      <c r="U33" s="234"/>
      <c r="Y33" s="234">
        <v>6.882352941176471</v>
      </c>
      <c r="Z33" s="234"/>
    </row>
    <row r="34" spans="3:26" s="6" customFormat="1" ht="14.25">
      <c r="C34" s="5"/>
      <c r="K34" s="287"/>
      <c r="L34" s="287"/>
      <c r="M34" s="287"/>
      <c r="N34" s="287"/>
      <c r="O34" s="287"/>
      <c r="P34" s="178" t="s">
        <v>159</v>
      </c>
      <c r="Q34" s="9"/>
      <c r="R34" s="58">
        <f>IF(ISBLANK(Q34),"",VLOOKUP(Q34,各艇データ,2,FALSE))</f>
      </c>
      <c r="S34" s="234"/>
      <c r="T34" s="234"/>
      <c r="U34" s="234"/>
      <c r="Y34" s="234"/>
      <c r="Z34" s="234">
        <v>1</v>
      </c>
    </row>
    <row r="35" spans="3:26" s="6" customFormat="1" ht="14.25">
      <c r="C35" s="5"/>
      <c r="J35" s="497" t="s">
        <v>140</v>
      </c>
      <c r="K35" s="497"/>
      <c r="L35" s="497"/>
      <c r="M35" s="497"/>
      <c r="N35" s="245"/>
      <c r="O35" s="194"/>
      <c r="P35" s="178" t="s">
        <v>160</v>
      </c>
      <c r="Q35" s="9"/>
      <c r="R35" s="58">
        <f>IF(ISBLANK(Q35),"",VLOOKUP(Q35,各艇データ,2,FALSE))</f>
      </c>
      <c r="S35" s="234"/>
      <c r="T35" s="234"/>
      <c r="U35" s="234"/>
      <c r="Z35" s="234">
        <v>1</v>
      </c>
    </row>
    <row r="36" spans="3:21" s="6" customFormat="1" ht="15" thickBot="1">
      <c r="C36" s="5"/>
      <c r="P36" s="184" t="s">
        <v>161</v>
      </c>
      <c r="Q36" s="11"/>
      <c r="R36" s="185" t="s">
        <v>107</v>
      </c>
      <c r="S36" s="235"/>
      <c r="T36" s="235"/>
      <c r="U36" s="235"/>
    </row>
    <row r="37" spans="3:9" s="6" customFormat="1" ht="15" thickTop="1">
      <c r="C37" s="5"/>
      <c r="D37" s="195"/>
      <c r="E37" s="196"/>
      <c r="F37" s="196"/>
      <c r="G37" s="196"/>
      <c r="H37" s="196"/>
      <c r="I37" s="197"/>
    </row>
    <row r="38" spans="3:9" s="6" customFormat="1" ht="14.25">
      <c r="C38" s="5"/>
      <c r="D38" s="198" t="s">
        <v>141</v>
      </c>
      <c r="E38" s="199"/>
      <c r="G38" s="177"/>
      <c r="H38" s="177"/>
      <c r="I38" s="200"/>
    </row>
    <row r="39" spans="3:9" s="6" customFormat="1" ht="14.25">
      <c r="C39" s="5"/>
      <c r="D39" s="511" t="s">
        <v>420</v>
      </c>
      <c r="E39" s="493"/>
      <c r="F39" s="177"/>
      <c r="G39" s="177"/>
      <c r="H39" s="177"/>
      <c r="I39" s="200"/>
    </row>
    <row r="40" spans="3:9" s="6" customFormat="1" ht="14.25">
      <c r="C40" s="5"/>
      <c r="D40" s="511" t="s">
        <v>421</v>
      </c>
      <c r="E40" s="493"/>
      <c r="F40" s="177"/>
      <c r="G40" s="177"/>
      <c r="H40" s="177"/>
      <c r="I40" s="200"/>
    </row>
    <row r="41" spans="3:9" s="6" customFormat="1" ht="14.25">
      <c r="C41" s="5"/>
      <c r="D41" s="198" t="s">
        <v>148</v>
      </c>
      <c r="E41" s="510" t="s">
        <v>422</v>
      </c>
      <c r="F41" s="509"/>
      <c r="G41" s="509"/>
      <c r="H41" s="509"/>
      <c r="I41" s="200"/>
    </row>
    <row r="42" spans="3:11" s="6" customFormat="1" ht="14.25">
      <c r="C42" s="5"/>
      <c r="D42" s="198" t="s">
        <v>149</v>
      </c>
      <c r="E42" s="510" t="s">
        <v>423</v>
      </c>
      <c r="F42" s="509"/>
      <c r="G42" s="509"/>
      <c r="H42" s="509"/>
      <c r="I42" s="200"/>
      <c r="K42" s="201"/>
    </row>
    <row r="43" spans="3:9" s="6" customFormat="1" ht="15" thickBot="1">
      <c r="C43" s="5"/>
      <c r="D43" s="202"/>
      <c r="E43" s="203"/>
      <c r="F43" s="203"/>
      <c r="G43" s="203"/>
      <c r="H43" s="203"/>
      <c r="I43" s="204"/>
    </row>
    <row r="44" s="6" customFormat="1" ht="15" thickTop="1">
      <c r="C44" s="5"/>
    </row>
  </sheetData>
  <sheetProtection password="EDAE" sheet="1"/>
  <mergeCells count="14">
    <mergeCell ref="B32:D32"/>
    <mergeCell ref="J35:M35"/>
    <mergeCell ref="P2:U2"/>
    <mergeCell ref="B2:M2"/>
    <mergeCell ref="D39:E39"/>
    <mergeCell ref="D40:E40"/>
    <mergeCell ref="B1:M1"/>
    <mergeCell ref="B4:B6"/>
    <mergeCell ref="C4:C6"/>
    <mergeCell ref="D4:D6"/>
    <mergeCell ref="K4:K6"/>
    <mergeCell ref="L4:L6"/>
    <mergeCell ref="M4:M6"/>
    <mergeCell ref="J3:M3"/>
  </mergeCells>
  <printOptions/>
  <pageMargins left="0.5118110236220472" right="0.31496062992125984" top="0.7480314960629921" bottom="0.7480314960629921" header="0.31496062992125984" footer="0.31496062992125984"/>
  <pageSetup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U34"/>
  <sheetViews>
    <sheetView zoomScalePageLayoutView="0" workbookViewId="0" topLeftCell="A1">
      <selection activeCell="L20" sqref="L20:M20"/>
    </sheetView>
  </sheetViews>
  <sheetFormatPr defaultColWidth="9.140625" defaultRowHeight="15"/>
  <cols>
    <col min="1" max="1" width="2.421875" style="0" customWidth="1"/>
    <col min="2" max="13" width="8.421875" style="0" customWidth="1"/>
    <col min="14" max="14" width="9.28125" style="0" customWidth="1"/>
    <col min="15" max="15" width="7.57421875" style="0" customWidth="1"/>
    <col min="16" max="16" width="15.140625" style="0" customWidth="1"/>
    <col min="17" max="17" width="13.8515625" style="0" customWidth="1"/>
    <col min="18" max="18" width="11.57421875" style="0" customWidth="1"/>
    <col min="19" max="19" width="17.421875" style="0" customWidth="1"/>
    <col min="20" max="20" width="13.421875" style="0" customWidth="1"/>
  </cols>
  <sheetData>
    <row r="1" spans="2:21" s="6" customFormat="1" ht="14.25" customHeight="1">
      <c r="B1" s="504"/>
      <c r="C1" s="504"/>
      <c r="D1" s="504"/>
      <c r="E1" s="504"/>
      <c r="F1" s="504"/>
      <c r="G1" s="504"/>
      <c r="H1" s="504"/>
      <c r="I1" s="504"/>
      <c r="J1" s="504"/>
      <c r="K1" s="504"/>
      <c r="L1" s="504"/>
      <c r="O1" s="499" t="s">
        <v>228</v>
      </c>
      <c r="P1" s="499"/>
      <c r="Q1" s="499"/>
      <c r="R1" s="499"/>
      <c r="S1" s="499"/>
      <c r="T1" s="350"/>
      <c r="U1" s="350" t="s">
        <v>229</v>
      </c>
    </row>
    <row r="2" spans="2:21" s="166" customFormat="1" ht="20.25" customHeight="1">
      <c r="B2" s="394" t="s">
        <v>150</v>
      </c>
      <c r="C2" s="394"/>
      <c r="D2" s="394"/>
      <c r="E2" s="394"/>
      <c r="F2" s="394"/>
      <c r="G2" s="394"/>
      <c r="H2" s="394"/>
      <c r="I2" s="394"/>
      <c r="J2" s="394"/>
      <c r="K2" s="394"/>
      <c r="L2" s="394"/>
      <c r="M2" s="394"/>
      <c r="O2" s="349"/>
      <c r="P2" s="349"/>
      <c r="Q2" s="349"/>
      <c r="R2" s="351"/>
      <c r="S2" s="349"/>
      <c r="T2" s="350"/>
      <c r="U2" s="350"/>
    </row>
    <row r="3" spans="2:21" s="6" customFormat="1" ht="21" customHeight="1">
      <c r="B3" s="505"/>
      <c r="C3" s="505"/>
      <c r="D3" s="505"/>
      <c r="E3" s="505"/>
      <c r="F3" s="505"/>
      <c r="G3" s="505"/>
      <c r="H3" s="505"/>
      <c r="I3" s="505"/>
      <c r="J3" s="505"/>
      <c r="K3" s="505"/>
      <c r="L3" s="506" t="s">
        <v>409</v>
      </c>
      <c r="M3" s="507"/>
      <c r="O3" s="352"/>
      <c r="P3" s="352"/>
      <c r="Q3" s="352"/>
      <c r="R3" s="352"/>
      <c r="S3" s="352"/>
      <c r="T3" s="350"/>
      <c r="U3" s="350" t="s">
        <v>230</v>
      </c>
    </row>
    <row r="4" spans="2:21" s="6" customFormat="1" ht="20.25" customHeight="1">
      <c r="B4" s="205" t="str">
        <f>'参照ﾃﾞｰﾀ'!AF4</f>
        <v>＃486</v>
      </c>
      <c r="C4" s="206" t="s">
        <v>177</v>
      </c>
      <c r="D4" s="205" t="str">
        <f>'参照ﾃﾞｰﾀ'!AF5</f>
        <v>＃487</v>
      </c>
      <c r="E4" s="206" t="s">
        <v>151</v>
      </c>
      <c r="F4" s="205" t="str">
        <f>'参照ﾃﾞｰﾀ'!AF6</f>
        <v>＃488</v>
      </c>
      <c r="G4" s="206" t="s">
        <v>379</v>
      </c>
      <c r="H4" s="205" t="str">
        <f>'参照ﾃﾞｰﾀ'!AF7</f>
        <v>＃489</v>
      </c>
      <c r="I4" s="386" t="s">
        <v>380</v>
      </c>
      <c r="J4" s="205" t="str">
        <f>'参照ﾃﾞｰﾀ'!AF8</f>
        <v>＃490</v>
      </c>
      <c r="K4" s="206" t="s">
        <v>59</v>
      </c>
      <c r="L4" s="205" t="str">
        <f>'参照ﾃﾞｰﾀ'!AF9</f>
        <v>＃491</v>
      </c>
      <c r="M4" s="207" t="s">
        <v>344</v>
      </c>
      <c r="O4" s="353"/>
      <c r="P4" s="353"/>
      <c r="Q4" s="353"/>
      <c r="R4" s="353"/>
      <c r="S4" s="353"/>
      <c r="T4" s="354"/>
      <c r="U4" s="355"/>
    </row>
    <row r="5" spans="2:21" s="171" customFormat="1" ht="46.5" customHeight="1">
      <c r="B5" s="502">
        <f>'参照ﾃﾞｰﾀ'!$R4</f>
        <v>42386</v>
      </c>
      <c r="C5" s="503"/>
      <c r="D5" s="502">
        <f>'参照ﾃﾞｰﾀ'!$R5</f>
        <v>42421</v>
      </c>
      <c r="E5" s="503"/>
      <c r="F5" s="502">
        <f>'参照ﾃﾞｰﾀ'!$R6</f>
        <v>42449</v>
      </c>
      <c r="G5" s="503"/>
      <c r="H5" s="502">
        <f>'参照ﾃﾞｰﾀ'!$R7</f>
        <v>42477</v>
      </c>
      <c r="I5" s="503"/>
      <c r="J5" s="502">
        <f>'参照ﾃﾞｰﾀ'!$R8</f>
        <v>42505</v>
      </c>
      <c r="K5" s="503"/>
      <c r="L5" s="502" t="str">
        <f>'参照ﾃﾞｰﾀ'!AF9</f>
        <v>＃491</v>
      </c>
      <c r="M5" s="503"/>
      <c r="O5" s="500" t="s">
        <v>231</v>
      </c>
      <c r="P5" s="501"/>
      <c r="Q5" s="356" t="s">
        <v>65</v>
      </c>
      <c r="R5" s="356" t="s">
        <v>232</v>
      </c>
      <c r="S5" s="356" t="s">
        <v>233</v>
      </c>
      <c r="T5" s="356" t="s">
        <v>234</v>
      </c>
      <c r="U5" s="355"/>
    </row>
    <row r="6" spans="2:21" s="6" customFormat="1" ht="21" customHeight="1">
      <c r="B6" s="208" t="s">
        <v>152</v>
      </c>
      <c r="C6" s="209" t="s">
        <v>109</v>
      </c>
      <c r="D6" s="208" t="s">
        <v>152</v>
      </c>
      <c r="E6" s="209" t="s">
        <v>109</v>
      </c>
      <c r="F6" s="208" t="s">
        <v>152</v>
      </c>
      <c r="G6" s="209" t="s">
        <v>109</v>
      </c>
      <c r="H6" s="208" t="s">
        <v>152</v>
      </c>
      <c r="I6" s="209" t="s">
        <v>109</v>
      </c>
      <c r="J6" s="208" t="s">
        <v>152</v>
      </c>
      <c r="K6" s="209" t="s">
        <v>109</v>
      </c>
      <c r="L6" s="208" t="s">
        <v>152</v>
      </c>
      <c r="M6" s="209" t="s">
        <v>109</v>
      </c>
      <c r="O6" s="357" t="s">
        <v>235</v>
      </c>
      <c r="P6" s="358" t="s">
        <v>236</v>
      </c>
      <c r="Q6" s="359" t="s">
        <v>177</v>
      </c>
      <c r="R6" s="360" t="s">
        <v>237</v>
      </c>
      <c r="S6" s="360" t="s">
        <v>238</v>
      </c>
      <c r="T6" s="361" t="s">
        <v>239</v>
      </c>
      <c r="U6" s="351"/>
    </row>
    <row r="7" spans="2:21" s="6" customFormat="1" ht="18" customHeight="1">
      <c r="B7" s="210" t="s">
        <v>326</v>
      </c>
      <c r="C7" s="211" t="s">
        <v>328</v>
      </c>
      <c r="D7" s="210" t="s">
        <v>363</v>
      </c>
      <c r="E7" s="211" t="s">
        <v>362</v>
      </c>
      <c r="F7" s="212" t="s">
        <v>369</v>
      </c>
      <c r="G7" s="213" t="s">
        <v>356</v>
      </c>
      <c r="H7" s="214" t="s">
        <v>373</v>
      </c>
      <c r="I7" s="211" t="s">
        <v>372</v>
      </c>
      <c r="J7" s="214" t="s">
        <v>388</v>
      </c>
      <c r="K7" s="211" t="s">
        <v>397</v>
      </c>
      <c r="L7" s="210" t="s">
        <v>411</v>
      </c>
      <c r="M7" s="211" t="s">
        <v>410</v>
      </c>
      <c r="O7" s="357" t="s">
        <v>240</v>
      </c>
      <c r="P7" s="358" t="s">
        <v>241</v>
      </c>
      <c r="Q7" s="359" t="s">
        <v>242</v>
      </c>
      <c r="R7" s="360" t="s">
        <v>243</v>
      </c>
      <c r="S7" s="360" t="s">
        <v>244</v>
      </c>
      <c r="T7" s="361" t="s">
        <v>245</v>
      </c>
      <c r="U7" s="351"/>
    </row>
    <row r="8" spans="2:21" s="6" customFormat="1" ht="18" customHeight="1">
      <c r="B8" s="215" t="s">
        <v>327</v>
      </c>
      <c r="C8" s="216" t="s">
        <v>328</v>
      </c>
      <c r="D8" s="215" t="s">
        <v>364</v>
      </c>
      <c r="E8" s="211" t="s">
        <v>362</v>
      </c>
      <c r="F8" s="215" t="s">
        <v>350</v>
      </c>
      <c r="G8" s="216" t="s">
        <v>357</v>
      </c>
      <c r="H8" s="217" t="s">
        <v>375</v>
      </c>
      <c r="I8" s="211" t="s">
        <v>372</v>
      </c>
      <c r="J8" s="217" t="s">
        <v>389</v>
      </c>
      <c r="K8" s="216" t="s">
        <v>398</v>
      </c>
      <c r="L8" s="215" t="s">
        <v>412</v>
      </c>
      <c r="M8" s="216" t="s">
        <v>410</v>
      </c>
      <c r="O8" s="357" t="s">
        <v>246</v>
      </c>
      <c r="P8" s="358" t="s">
        <v>247</v>
      </c>
      <c r="Q8" s="359" t="s">
        <v>248</v>
      </c>
      <c r="R8" s="385" t="s">
        <v>377</v>
      </c>
      <c r="S8" s="362"/>
      <c r="T8" s="363"/>
      <c r="U8" s="351"/>
    </row>
    <row r="9" spans="2:21" s="6" customFormat="1" ht="18" customHeight="1">
      <c r="B9" s="218" t="s">
        <v>333</v>
      </c>
      <c r="C9" s="216" t="s">
        <v>328</v>
      </c>
      <c r="D9" s="218" t="s">
        <v>365</v>
      </c>
      <c r="E9" s="211" t="s">
        <v>368</v>
      </c>
      <c r="F9" s="218" t="s">
        <v>351</v>
      </c>
      <c r="G9" s="216" t="s">
        <v>357</v>
      </c>
      <c r="H9" s="219" t="s">
        <v>374</v>
      </c>
      <c r="I9" s="211" t="s">
        <v>372</v>
      </c>
      <c r="J9" s="219" t="s">
        <v>390</v>
      </c>
      <c r="K9" s="216" t="s">
        <v>398</v>
      </c>
      <c r="L9" s="218" t="s">
        <v>413</v>
      </c>
      <c r="M9" s="216" t="s">
        <v>410</v>
      </c>
      <c r="O9" s="357" t="s">
        <v>249</v>
      </c>
      <c r="P9" s="358" t="s">
        <v>236</v>
      </c>
      <c r="Q9" s="359" t="s">
        <v>250</v>
      </c>
      <c r="R9" s="385" t="s">
        <v>378</v>
      </c>
      <c r="S9" s="363"/>
      <c r="T9" s="363"/>
      <c r="U9" s="351"/>
    </row>
    <row r="10" spans="2:21" s="6" customFormat="1" ht="18" customHeight="1">
      <c r="B10" s="218"/>
      <c r="C10" s="216"/>
      <c r="D10" s="218" t="s">
        <v>366</v>
      </c>
      <c r="E10" s="211" t="s">
        <v>367</v>
      </c>
      <c r="F10" s="218" t="s">
        <v>352</v>
      </c>
      <c r="G10" s="216" t="s">
        <v>357</v>
      </c>
      <c r="H10" s="219" t="s">
        <v>376</v>
      </c>
      <c r="I10" s="216" t="s">
        <v>372</v>
      </c>
      <c r="J10" s="219" t="s">
        <v>391</v>
      </c>
      <c r="K10" s="216" t="s">
        <v>398</v>
      </c>
      <c r="L10" s="218" t="s">
        <v>365</v>
      </c>
      <c r="M10" s="216" t="s">
        <v>368</v>
      </c>
      <c r="O10" s="357" t="s">
        <v>251</v>
      </c>
      <c r="P10" s="358" t="s">
        <v>252</v>
      </c>
      <c r="Q10" s="359" t="s">
        <v>253</v>
      </c>
      <c r="R10" s="360" t="s">
        <v>254</v>
      </c>
      <c r="S10" s="363"/>
      <c r="T10" s="363"/>
      <c r="U10" s="351"/>
    </row>
    <row r="11" spans="2:21" s="6" customFormat="1" ht="18" customHeight="1">
      <c r="B11" s="218"/>
      <c r="C11" s="216"/>
      <c r="D11" s="218"/>
      <c r="E11" s="211"/>
      <c r="F11" s="218" t="s">
        <v>353</v>
      </c>
      <c r="G11" s="216" t="s">
        <v>357</v>
      </c>
      <c r="H11" s="219"/>
      <c r="I11" s="216"/>
      <c r="J11" s="219" t="s">
        <v>392</v>
      </c>
      <c r="K11" s="216" t="s">
        <v>398</v>
      </c>
      <c r="L11" s="218" t="s">
        <v>366</v>
      </c>
      <c r="M11" s="211" t="s">
        <v>367</v>
      </c>
      <c r="O11" s="357" t="s">
        <v>255</v>
      </c>
      <c r="P11" s="358" t="s">
        <v>256</v>
      </c>
      <c r="Q11" s="359" t="s">
        <v>257</v>
      </c>
      <c r="R11" s="360" t="s">
        <v>258</v>
      </c>
      <c r="S11" s="363"/>
      <c r="T11" s="363"/>
      <c r="U11" s="351"/>
    </row>
    <row r="12" spans="2:21" s="6" customFormat="1" ht="18" customHeight="1">
      <c r="B12" s="218"/>
      <c r="C12" s="216"/>
      <c r="D12" s="218"/>
      <c r="E12" s="211"/>
      <c r="F12" s="218" t="s">
        <v>354</v>
      </c>
      <c r="G12" s="216" t="s">
        <v>357</v>
      </c>
      <c r="H12" s="219"/>
      <c r="I12" s="216"/>
      <c r="J12" s="219" t="s">
        <v>393</v>
      </c>
      <c r="K12" s="216" t="s">
        <v>398</v>
      </c>
      <c r="L12" s="218"/>
      <c r="M12" s="216"/>
      <c r="O12" s="357" t="s">
        <v>259</v>
      </c>
      <c r="P12" s="358" t="s">
        <v>236</v>
      </c>
      <c r="Q12" s="359" t="s">
        <v>260</v>
      </c>
      <c r="R12" s="360" t="s">
        <v>261</v>
      </c>
      <c r="S12" s="363"/>
      <c r="T12" s="363"/>
      <c r="U12" s="351"/>
    </row>
    <row r="13" spans="2:21" s="6" customFormat="1" ht="18" customHeight="1">
      <c r="B13" s="218"/>
      <c r="C13" s="216"/>
      <c r="D13" s="218"/>
      <c r="E13" s="216"/>
      <c r="F13" s="218" t="s">
        <v>355</v>
      </c>
      <c r="G13" s="216" t="s">
        <v>357</v>
      </c>
      <c r="H13" s="219"/>
      <c r="I13" s="216"/>
      <c r="J13" s="219" t="s">
        <v>394</v>
      </c>
      <c r="K13" s="216" t="s">
        <v>398</v>
      </c>
      <c r="L13" s="218"/>
      <c r="M13" s="216"/>
      <c r="O13" s="357" t="s">
        <v>262</v>
      </c>
      <c r="P13" s="358" t="s">
        <v>241</v>
      </c>
      <c r="Q13" s="359" t="s">
        <v>263</v>
      </c>
      <c r="R13" s="360" t="s">
        <v>264</v>
      </c>
      <c r="S13" s="363"/>
      <c r="T13" s="363"/>
      <c r="U13" s="351"/>
    </row>
    <row r="14" spans="2:21" s="6" customFormat="1" ht="18" customHeight="1">
      <c r="B14" s="218"/>
      <c r="C14" s="216"/>
      <c r="D14" s="218"/>
      <c r="E14" s="216"/>
      <c r="F14" s="218"/>
      <c r="G14" s="216"/>
      <c r="H14" s="219"/>
      <c r="I14" s="216"/>
      <c r="J14" s="219" t="s">
        <v>395</v>
      </c>
      <c r="K14" s="216" t="s">
        <v>396</v>
      </c>
      <c r="L14" s="218"/>
      <c r="M14" s="216"/>
      <c r="O14" s="357" t="s">
        <v>265</v>
      </c>
      <c r="P14" s="358" t="s">
        <v>266</v>
      </c>
      <c r="Q14" s="359" t="s">
        <v>267</v>
      </c>
      <c r="R14" s="360" t="s">
        <v>268</v>
      </c>
      <c r="S14" s="363"/>
      <c r="T14" s="363"/>
      <c r="U14" s="351"/>
    </row>
    <row r="15" spans="2:21" s="6" customFormat="1" ht="18" customHeight="1">
      <c r="B15" s="218"/>
      <c r="C15" s="216"/>
      <c r="D15" s="218"/>
      <c r="E15" s="216"/>
      <c r="F15" s="218"/>
      <c r="G15" s="216"/>
      <c r="H15" s="220"/>
      <c r="I15" s="216"/>
      <c r="J15" s="220"/>
      <c r="K15" s="216"/>
      <c r="L15" s="218"/>
      <c r="M15" s="216"/>
      <c r="O15" s="357" t="s">
        <v>265</v>
      </c>
      <c r="P15" s="358" t="s">
        <v>269</v>
      </c>
      <c r="Q15" s="359" t="s">
        <v>270</v>
      </c>
      <c r="R15" s="360" t="s">
        <v>271</v>
      </c>
      <c r="S15" s="360" t="s">
        <v>272</v>
      </c>
      <c r="T15" s="360" t="s">
        <v>273</v>
      </c>
      <c r="U15" s="351"/>
    </row>
    <row r="16" spans="2:21" s="6" customFormat="1" ht="18" customHeight="1">
      <c r="B16" s="221"/>
      <c r="C16" s="222"/>
      <c r="D16" s="221"/>
      <c r="E16" s="222"/>
      <c r="F16" s="221"/>
      <c r="G16" s="222"/>
      <c r="H16" s="223"/>
      <c r="I16" s="222"/>
      <c r="J16" s="223"/>
      <c r="K16" s="222"/>
      <c r="L16" s="221"/>
      <c r="M16" s="222"/>
      <c r="O16" s="357" t="s">
        <v>274</v>
      </c>
      <c r="P16" s="358" t="s">
        <v>275</v>
      </c>
      <c r="Q16" s="359" t="s">
        <v>276</v>
      </c>
      <c r="R16" s="360" t="s">
        <v>277</v>
      </c>
      <c r="S16" s="363"/>
      <c r="T16" s="363"/>
      <c r="U16" s="351"/>
    </row>
    <row r="17" spans="2:21" s="6" customFormat="1" ht="18" customHeight="1">
      <c r="B17" s="224"/>
      <c r="C17" s="225"/>
      <c r="D17" s="224"/>
      <c r="E17" s="225"/>
      <c r="F17" s="224"/>
      <c r="G17" s="225"/>
      <c r="H17" s="226"/>
      <c r="I17" s="225"/>
      <c r="J17" s="226"/>
      <c r="K17" s="225"/>
      <c r="L17" s="224"/>
      <c r="M17" s="225"/>
      <c r="O17" s="357" t="s">
        <v>278</v>
      </c>
      <c r="P17" s="358" t="s">
        <v>247</v>
      </c>
      <c r="Q17" s="359" t="s">
        <v>279</v>
      </c>
      <c r="R17" s="360" t="s">
        <v>280</v>
      </c>
      <c r="S17" s="360" t="s">
        <v>281</v>
      </c>
      <c r="T17" s="361" t="s">
        <v>282</v>
      </c>
      <c r="U17" s="351"/>
    </row>
    <row r="18" spans="2:21" s="6" customFormat="1" ht="15.75">
      <c r="B18" s="227"/>
      <c r="C18" s="194"/>
      <c r="D18" s="194"/>
      <c r="E18" s="194"/>
      <c r="F18" s="194"/>
      <c r="G18" s="194"/>
      <c r="H18" s="194"/>
      <c r="I18" s="194"/>
      <c r="J18" s="194"/>
      <c r="K18" s="194"/>
      <c r="L18" s="194"/>
      <c r="M18" s="194"/>
      <c r="O18" s="357" t="s">
        <v>283</v>
      </c>
      <c r="P18" s="358" t="s">
        <v>269</v>
      </c>
      <c r="Q18" s="359" t="s">
        <v>276</v>
      </c>
      <c r="R18" s="360" t="s">
        <v>284</v>
      </c>
      <c r="S18" s="363"/>
      <c r="T18" s="363"/>
      <c r="U18" s="351"/>
    </row>
    <row r="19" spans="2:21" s="6" customFormat="1" ht="21" customHeight="1">
      <c r="B19" s="274" t="str">
        <f>'参照ﾃﾞｰﾀ'!AF10</f>
        <v>＃492</v>
      </c>
      <c r="C19" s="206" t="s">
        <v>153</v>
      </c>
      <c r="D19" s="274" t="str">
        <f>'参照ﾃﾞｰﾀ'!AF11</f>
        <v>＃493</v>
      </c>
      <c r="E19" s="206"/>
      <c r="F19" s="274" t="str">
        <f>'参照ﾃﾞｰﾀ'!AF12</f>
        <v>＃494</v>
      </c>
      <c r="G19" s="206"/>
      <c r="H19" s="274" t="str">
        <f>'参照ﾃﾞｰﾀ'!AF13</f>
        <v>＃495</v>
      </c>
      <c r="I19" s="206"/>
      <c r="J19" s="274" t="str">
        <f>'参照ﾃﾞｰﾀ'!AF14</f>
        <v>＃496</v>
      </c>
      <c r="K19" s="206"/>
      <c r="L19" s="274" t="str">
        <f>'参照ﾃﾞｰﾀ'!AF15</f>
        <v>＃497</v>
      </c>
      <c r="M19" s="207"/>
      <c r="O19" s="364"/>
      <c r="P19" s="364"/>
      <c r="Q19" s="351"/>
      <c r="R19" s="365" t="s">
        <v>285</v>
      </c>
      <c r="S19" s="351"/>
      <c r="T19" s="351"/>
      <c r="U19" s="351"/>
    </row>
    <row r="20" spans="2:21" s="6" customFormat="1" ht="46.5" customHeight="1">
      <c r="B20" s="502">
        <f>'参照ﾃﾞｰﾀ'!$R10</f>
        <v>42568</v>
      </c>
      <c r="C20" s="503"/>
      <c r="D20" s="502">
        <f>'参照ﾃﾞｰﾀ'!$R11</f>
        <v>42603</v>
      </c>
      <c r="E20" s="503"/>
      <c r="F20" s="502">
        <f>'参照ﾃﾞｰﾀ'!$R13</f>
        <v>42631</v>
      </c>
      <c r="G20" s="503"/>
      <c r="H20" s="502">
        <f>'参照ﾃﾞｰﾀ'!$R14</f>
        <v>42659</v>
      </c>
      <c r="I20" s="503"/>
      <c r="J20" s="502">
        <f>'参照ﾃﾞｰﾀ'!$R15</f>
        <v>42694</v>
      </c>
      <c r="K20" s="503"/>
      <c r="L20" s="502">
        <f>'参照ﾃﾞｰﾀ'!$R16</f>
        <v>42722</v>
      </c>
      <c r="M20" s="503"/>
      <c r="O20" s="364"/>
      <c r="P20" s="364"/>
      <c r="Q20" s="351"/>
      <c r="R20" s="351"/>
      <c r="S20" s="351"/>
      <c r="T20" s="351"/>
      <c r="U20" s="351"/>
    </row>
    <row r="21" spans="2:21" s="6" customFormat="1" ht="21" customHeight="1">
      <c r="B21" s="208" t="s">
        <v>152</v>
      </c>
      <c r="C21" s="209" t="s">
        <v>109</v>
      </c>
      <c r="D21" s="208" t="s">
        <v>152</v>
      </c>
      <c r="E21" s="209" t="s">
        <v>109</v>
      </c>
      <c r="F21" s="208" t="s">
        <v>152</v>
      </c>
      <c r="G21" s="209" t="s">
        <v>109</v>
      </c>
      <c r="H21" s="208" t="s">
        <v>152</v>
      </c>
      <c r="I21" s="209" t="s">
        <v>109</v>
      </c>
      <c r="J21" s="208" t="s">
        <v>152</v>
      </c>
      <c r="K21" s="209" t="s">
        <v>109</v>
      </c>
      <c r="L21" s="208" t="s">
        <v>152</v>
      </c>
      <c r="M21" s="209" t="s">
        <v>109</v>
      </c>
      <c r="O21" s="364"/>
      <c r="P21" s="366" t="s">
        <v>286</v>
      </c>
      <c r="Q21" s="351"/>
      <c r="R21" s="351"/>
      <c r="S21" s="351"/>
      <c r="T21" s="351"/>
      <c r="U21" s="351"/>
    </row>
    <row r="22" spans="2:21" s="6" customFormat="1" ht="18" customHeight="1">
      <c r="B22" s="210"/>
      <c r="C22" s="211"/>
      <c r="D22" s="210"/>
      <c r="E22" s="211"/>
      <c r="F22" s="218"/>
      <c r="G22" s="216"/>
      <c r="H22" s="210"/>
      <c r="I22" s="211"/>
      <c r="J22" s="210"/>
      <c r="K22" s="211"/>
      <c r="L22" s="210"/>
      <c r="M22" s="211"/>
      <c r="O22" s="364"/>
      <c r="P22" s="355">
        <v>1</v>
      </c>
      <c r="Q22" s="351" t="s">
        <v>287</v>
      </c>
      <c r="R22" s="351"/>
      <c r="S22" s="351"/>
      <c r="T22" s="351"/>
      <c r="U22" s="351"/>
    </row>
    <row r="23" spans="2:21" s="6" customFormat="1" ht="18" customHeight="1">
      <c r="B23" s="215"/>
      <c r="C23" s="211"/>
      <c r="D23" s="215"/>
      <c r="E23" s="216"/>
      <c r="F23" s="215"/>
      <c r="G23" s="216"/>
      <c r="H23" s="215"/>
      <c r="I23" s="211"/>
      <c r="J23" s="215"/>
      <c r="K23" s="216"/>
      <c r="L23" s="215"/>
      <c r="M23" s="211"/>
      <c r="O23" s="364"/>
      <c r="P23" s="355">
        <v>2</v>
      </c>
      <c r="Q23" s="351" t="s">
        <v>288</v>
      </c>
      <c r="R23" s="351"/>
      <c r="S23" s="351"/>
      <c r="T23" s="351"/>
      <c r="U23" s="351"/>
    </row>
    <row r="24" spans="2:21" s="6" customFormat="1" ht="18" customHeight="1">
      <c r="B24" s="218"/>
      <c r="C24" s="216"/>
      <c r="D24" s="218"/>
      <c r="E24" s="216"/>
      <c r="F24" s="218"/>
      <c r="G24" s="216"/>
      <c r="H24" s="218"/>
      <c r="I24" s="211"/>
      <c r="J24" s="218"/>
      <c r="K24" s="216"/>
      <c r="L24" s="218"/>
      <c r="M24" s="211"/>
      <c r="O24" s="364"/>
      <c r="P24" s="355">
        <v>3</v>
      </c>
      <c r="Q24" s="351" t="s">
        <v>289</v>
      </c>
      <c r="R24" s="351"/>
      <c r="S24" s="351"/>
      <c r="T24" s="351"/>
      <c r="U24" s="351"/>
    </row>
    <row r="25" spans="2:21" s="6" customFormat="1" ht="18" customHeight="1">
      <c r="B25" s="218"/>
      <c r="C25" s="216"/>
      <c r="D25" s="218"/>
      <c r="E25" s="216"/>
      <c r="F25" s="218"/>
      <c r="G25" s="216"/>
      <c r="H25" s="218"/>
      <c r="I25" s="216"/>
      <c r="J25" s="218"/>
      <c r="K25" s="216"/>
      <c r="L25" s="218"/>
      <c r="M25" s="211"/>
      <c r="O25" s="364"/>
      <c r="P25" s="355">
        <v>4</v>
      </c>
      <c r="Q25" s="351" t="s">
        <v>290</v>
      </c>
      <c r="R25" s="351"/>
      <c r="S25" s="351"/>
      <c r="T25" s="351"/>
      <c r="U25" s="351"/>
    </row>
    <row r="26" spans="2:21" s="6" customFormat="1" ht="18" customHeight="1">
      <c r="B26" s="218"/>
      <c r="C26" s="216"/>
      <c r="D26" s="218"/>
      <c r="E26" s="216"/>
      <c r="F26" s="218"/>
      <c r="G26" s="216"/>
      <c r="H26" s="218"/>
      <c r="I26" s="216"/>
      <c r="J26" s="218"/>
      <c r="K26" s="216"/>
      <c r="L26" s="218"/>
      <c r="M26" s="211"/>
      <c r="O26" s="364"/>
      <c r="P26" s="355">
        <v>5</v>
      </c>
      <c r="Q26" s="351" t="s">
        <v>291</v>
      </c>
      <c r="R26" s="351"/>
      <c r="S26" s="351"/>
      <c r="T26" s="351"/>
      <c r="U26" s="351"/>
    </row>
    <row r="27" spans="2:21" s="6" customFormat="1" ht="18" customHeight="1">
      <c r="B27" s="218"/>
      <c r="C27" s="216"/>
      <c r="D27" s="218"/>
      <c r="E27" s="216"/>
      <c r="F27" s="218"/>
      <c r="G27" s="216"/>
      <c r="H27" s="218"/>
      <c r="I27" s="216"/>
      <c r="J27" s="218"/>
      <c r="K27" s="216"/>
      <c r="L27" s="218"/>
      <c r="M27" s="216"/>
      <c r="O27" s="364"/>
      <c r="P27" s="355">
        <v>6</v>
      </c>
      <c r="Q27" s="351" t="s">
        <v>292</v>
      </c>
      <c r="R27" s="351"/>
      <c r="S27" s="351"/>
      <c r="T27" s="351"/>
      <c r="U27" s="351"/>
    </row>
    <row r="28" spans="2:21" s="6" customFormat="1" ht="18" customHeight="1">
      <c r="B28" s="218"/>
      <c r="C28" s="216"/>
      <c r="D28" s="218"/>
      <c r="E28" s="216"/>
      <c r="F28" s="218"/>
      <c r="G28" s="216"/>
      <c r="H28" s="218"/>
      <c r="I28" s="216"/>
      <c r="J28" s="218"/>
      <c r="K28" s="216"/>
      <c r="L28" s="218"/>
      <c r="M28" s="216"/>
      <c r="O28" s="364"/>
      <c r="P28" s="355">
        <v>7</v>
      </c>
      <c r="Q28" s="351" t="s">
        <v>293</v>
      </c>
      <c r="R28" s="351"/>
      <c r="S28" s="351"/>
      <c r="T28" s="351"/>
      <c r="U28" s="351"/>
    </row>
    <row r="29" spans="2:21" s="6" customFormat="1" ht="18" customHeight="1">
      <c r="B29" s="218"/>
      <c r="C29" s="216"/>
      <c r="D29" s="218"/>
      <c r="E29" s="216"/>
      <c r="F29" s="218"/>
      <c r="G29" s="216"/>
      <c r="H29" s="218"/>
      <c r="I29" s="216"/>
      <c r="J29" s="218"/>
      <c r="K29" s="216"/>
      <c r="L29" s="218"/>
      <c r="M29" s="216"/>
      <c r="O29" s="364"/>
      <c r="P29" s="355">
        <v>8</v>
      </c>
      <c r="Q29" s="351" t="s">
        <v>294</v>
      </c>
      <c r="R29" s="351"/>
      <c r="S29" s="351"/>
      <c r="T29" s="351"/>
      <c r="U29" s="351"/>
    </row>
    <row r="30" spans="2:21" s="6" customFormat="1" ht="18" customHeight="1">
      <c r="B30" s="218"/>
      <c r="C30" s="216"/>
      <c r="D30" s="218"/>
      <c r="E30" s="216"/>
      <c r="F30" s="218"/>
      <c r="G30" s="216"/>
      <c r="H30" s="218"/>
      <c r="I30" s="216"/>
      <c r="J30" s="218"/>
      <c r="K30" s="216"/>
      <c r="L30" s="218"/>
      <c r="M30" s="216"/>
      <c r="O30" s="364"/>
      <c r="P30" s="355">
        <v>9</v>
      </c>
      <c r="Q30" s="351" t="s">
        <v>295</v>
      </c>
      <c r="R30" s="351"/>
      <c r="S30" s="351"/>
      <c r="T30" s="351"/>
      <c r="U30" s="351"/>
    </row>
    <row r="31" spans="2:21" s="6" customFormat="1" ht="18" customHeight="1">
      <c r="B31" s="224"/>
      <c r="C31" s="225"/>
      <c r="D31" s="224"/>
      <c r="E31" s="225"/>
      <c r="F31" s="224"/>
      <c r="G31" s="225"/>
      <c r="H31" s="224"/>
      <c r="I31" s="225"/>
      <c r="J31" s="224"/>
      <c r="K31" s="225"/>
      <c r="L31" s="224"/>
      <c r="M31" s="225"/>
      <c r="O31" s="364"/>
      <c r="P31" s="364"/>
      <c r="Q31" s="351"/>
      <c r="R31" s="351"/>
      <c r="S31" s="351"/>
      <c r="T31" s="351"/>
      <c r="U31" s="351"/>
    </row>
    <row r="32" spans="2:21" s="6" customFormat="1" ht="15.75">
      <c r="B32" s="227"/>
      <c r="C32" s="194"/>
      <c r="D32" s="194"/>
      <c r="E32" s="194"/>
      <c r="F32" s="194"/>
      <c r="G32" s="194"/>
      <c r="H32" s="194"/>
      <c r="I32" s="194"/>
      <c r="J32" s="194"/>
      <c r="K32" s="194"/>
      <c r="L32" s="194"/>
      <c r="M32" s="194"/>
      <c r="O32" s="355"/>
      <c r="P32" s="355" t="s">
        <v>296</v>
      </c>
      <c r="Q32" s="351" t="s">
        <v>297</v>
      </c>
      <c r="R32" s="351"/>
      <c r="S32" s="351"/>
      <c r="T32" s="351"/>
      <c r="U32" s="351"/>
    </row>
    <row r="33" spans="2:21" s="6" customFormat="1" ht="18" customHeight="1">
      <c r="B33" s="228"/>
      <c r="C33" s="229"/>
      <c r="D33" s="194"/>
      <c r="E33" s="194"/>
      <c r="F33" s="194"/>
      <c r="G33" s="194"/>
      <c r="H33" s="194"/>
      <c r="I33" s="194"/>
      <c r="J33" s="194"/>
      <c r="K33" s="194"/>
      <c r="L33" s="497" t="s">
        <v>154</v>
      </c>
      <c r="M33" s="497"/>
      <c r="O33" s="355"/>
      <c r="P33" s="355" t="s">
        <v>298</v>
      </c>
      <c r="Q33" s="351" t="s">
        <v>299</v>
      </c>
      <c r="R33" s="351"/>
      <c r="S33" s="351"/>
      <c r="T33" s="351"/>
      <c r="U33" s="351"/>
    </row>
    <row r="34" spans="2:21" s="6" customFormat="1" ht="15.75">
      <c r="B34" s="5"/>
      <c r="O34" s="355"/>
      <c r="P34" s="355" t="s">
        <v>300</v>
      </c>
      <c r="Q34" s="351" t="s">
        <v>301</v>
      </c>
      <c r="R34" s="351"/>
      <c r="S34" s="351"/>
      <c r="T34" s="351"/>
      <c r="U34" s="351"/>
    </row>
  </sheetData>
  <sheetProtection password="EDAE" sheet="1"/>
  <mergeCells count="19">
    <mergeCell ref="B2:M2"/>
    <mergeCell ref="B3:K3"/>
    <mergeCell ref="L3:M3"/>
    <mergeCell ref="B5:C5"/>
    <mergeCell ref="D5:E5"/>
    <mergeCell ref="F5:G5"/>
    <mergeCell ref="H5:I5"/>
    <mergeCell ref="J5:K5"/>
    <mergeCell ref="L5:M5"/>
    <mergeCell ref="O1:S1"/>
    <mergeCell ref="O5:P5"/>
    <mergeCell ref="L33:M33"/>
    <mergeCell ref="B20:C20"/>
    <mergeCell ref="D20:E20"/>
    <mergeCell ref="F20:G20"/>
    <mergeCell ref="H20:I20"/>
    <mergeCell ref="J20:K20"/>
    <mergeCell ref="L20:M20"/>
    <mergeCell ref="B1:L1"/>
  </mergeCells>
  <printOptions/>
  <pageMargins left="0.31496062992125984" right="0.31496062992125984" top="0.7480314960629921" bottom="0.7480314960629921" header="0.31496062992125984" footer="0.31496062992125984"/>
  <pageSetup fitToHeight="0" fitToWidth="1"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B1:AL70"/>
  <sheetViews>
    <sheetView zoomScalePageLayoutView="0" workbookViewId="0" topLeftCell="A1">
      <selection activeCell="L25" sqref="L25"/>
    </sheetView>
  </sheetViews>
  <sheetFormatPr defaultColWidth="9.140625" defaultRowHeight="15"/>
  <cols>
    <col min="1" max="1" width="2.7109375" style="0" customWidth="1"/>
    <col min="2" max="2" width="3.7109375" style="24" customWidth="1"/>
    <col min="3" max="3" width="6.140625" style="24" customWidth="1"/>
    <col min="4" max="4" width="16.28125" style="24" customWidth="1"/>
    <col min="5" max="5" width="8.7109375" style="24" customWidth="1"/>
    <col min="6" max="6" width="7.421875" style="25" customWidth="1"/>
    <col min="7" max="8" width="8.8515625" style="25" customWidth="1"/>
    <col min="9" max="9" width="5.421875" style="0" customWidth="1"/>
    <col min="12" max="12" width="7.421875" style="0" customWidth="1"/>
    <col min="13" max="13" width="3.00390625" style="0" customWidth="1"/>
    <col min="14" max="14" width="9.00390625" style="0" customWidth="1"/>
    <col min="15" max="15" width="3.140625" style="0" customWidth="1"/>
    <col min="16" max="16" width="5.8515625" style="0" customWidth="1"/>
    <col min="17" max="17" width="3.28125" style="0" customWidth="1"/>
    <col min="18" max="18" width="10.421875" style="0" customWidth="1"/>
    <col min="19" max="19" width="3.140625" style="0" customWidth="1"/>
    <col min="20" max="20" width="11.140625" style="0" customWidth="1"/>
    <col min="21" max="21" width="3.00390625" style="0" customWidth="1"/>
    <col min="22" max="22" width="17.421875" style="0" customWidth="1"/>
    <col min="23" max="23" width="2.421875" style="0" customWidth="1"/>
    <col min="25" max="25" width="2.57421875" style="0" customWidth="1"/>
    <col min="26" max="26" width="6.8515625" style="0" customWidth="1"/>
    <col min="27" max="27" width="2.57421875" style="0" customWidth="1"/>
    <col min="29" max="29" width="2.8515625" style="0" customWidth="1"/>
    <col min="33" max="33" width="11.57421875" style="0" customWidth="1"/>
  </cols>
  <sheetData>
    <row r="1" spans="2:30" ht="18.75">
      <c r="B1" s="508" t="s">
        <v>23</v>
      </c>
      <c r="C1" s="508"/>
      <c r="D1" s="508"/>
      <c r="E1" s="508"/>
      <c r="F1" s="508"/>
      <c r="G1" s="508"/>
      <c r="H1" s="508"/>
      <c r="J1" s="104" t="s">
        <v>92</v>
      </c>
      <c r="K1" s="103"/>
      <c r="L1" s="103"/>
      <c r="M1" s="103"/>
      <c r="N1" s="105" t="s">
        <v>74</v>
      </c>
      <c r="O1" s="105"/>
      <c r="P1" s="105" t="s">
        <v>76</v>
      </c>
      <c r="Q1" s="105"/>
      <c r="R1" s="105" t="s">
        <v>102</v>
      </c>
      <c r="S1" s="105"/>
      <c r="T1" s="105" t="s">
        <v>70</v>
      </c>
      <c r="U1" s="105"/>
      <c r="V1" s="106" t="s">
        <v>81</v>
      </c>
      <c r="W1" s="105"/>
      <c r="X1" s="105" t="s">
        <v>71</v>
      </c>
      <c r="Y1" s="105"/>
      <c r="Z1" s="106" t="s">
        <v>84</v>
      </c>
      <c r="AA1" s="105"/>
      <c r="AB1" s="105" t="s">
        <v>91</v>
      </c>
      <c r="AD1" s="105" t="s">
        <v>96</v>
      </c>
    </row>
    <row r="2" spans="2:32" ht="15" thickBot="1">
      <c r="B2" s="19"/>
      <c r="C2" s="19"/>
      <c r="D2" s="19"/>
      <c r="E2" s="19"/>
      <c r="F2" s="20"/>
      <c r="G2" s="20"/>
      <c r="H2" s="21" t="s">
        <v>198</v>
      </c>
      <c r="J2" t="s">
        <v>226</v>
      </c>
      <c r="N2" s="163"/>
      <c r="R2" s="133" t="s">
        <v>211</v>
      </c>
      <c r="AF2" t="str">
        <f>R2</f>
        <v>2016年</v>
      </c>
    </row>
    <row r="3" spans="2:38" ht="15">
      <c r="B3" s="22"/>
      <c r="C3" s="22" t="s">
        <v>24</v>
      </c>
      <c r="D3" s="22" t="s">
        <v>25</v>
      </c>
      <c r="E3" s="22" t="s">
        <v>26</v>
      </c>
      <c r="F3" s="23" t="s">
        <v>57</v>
      </c>
      <c r="G3" s="23" t="s">
        <v>27</v>
      </c>
      <c r="H3" s="23" t="s">
        <v>28</v>
      </c>
      <c r="J3" s="30" t="s">
        <v>65</v>
      </c>
      <c r="K3" s="138" t="s">
        <v>103</v>
      </c>
      <c r="L3" s="129" t="s">
        <v>96</v>
      </c>
      <c r="M3" s="39"/>
      <c r="N3" s="92" t="s">
        <v>75</v>
      </c>
      <c r="O3" s="39"/>
      <c r="P3" s="37" t="s">
        <v>67</v>
      </c>
      <c r="R3" s="37" t="s">
        <v>102</v>
      </c>
      <c r="T3" s="72" t="s">
        <v>77</v>
      </c>
      <c r="V3" s="37" t="s">
        <v>81</v>
      </c>
      <c r="X3" s="33" t="s">
        <v>69</v>
      </c>
      <c r="Z3" s="37" t="s">
        <v>85</v>
      </c>
      <c r="AB3" s="107" t="s">
        <v>91</v>
      </c>
      <c r="AD3" s="111" t="s">
        <v>13</v>
      </c>
      <c r="AF3" s="277" t="s">
        <v>162</v>
      </c>
      <c r="AG3" s="278" t="s">
        <v>163</v>
      </c>
      <c r="AH3" s="278" t="s">
        <v>106</v>
      </c>
      <c r="AI3" s="278" t="s">
        <v>155</v>
      </c>
      <c r="AJ3" s="278" t="s">
        <v>156</v>
      </c>
      <c r="AK3" s="278" t="s">
        <v>164</v>
      </c>
      <c r="AL3" s="279" t="s">
        <v>165</v>
      </c>
    </row>
    <row r="4" spans="2:38" ht="15.75" thickBot="1">
      <c r="B4" s="22">
        <v>1</v>
      </c>
      <c r="C4" s="319">
        <v>5752</v>
      </c>
      <c r="D4" s="320" t="s">
        <v>53</v>
      </c>
      <c r="E4" s="321">
        <v>10.394</v>
      </c>
      <c r="F4" s="322">
        <v>742.4</v>
      </c>
      <c r="G4" s="322">
        <v>523.3</v>
      </c>
      <c r="H4" s="322">
        <v>419</v>
      </c>
      <c r="J4" s="31" t="s">
        <v>60</v>
      </c>
      <c r="K4" s="128">
        <v>13.4</v>
      </c>
      <c r="L4" s="32" t="s">
        <v>97</v>
      </c>
      <c r="N4" s="136" t="s">
        <v>211</v>
      </c>
      <c r="P4" s="36" t="s">
        <v>235</v>
      </c>
      <c r="R4" s="134">
        <v>42386</v>
      </c>
      <c r="T4" s="73" t="s">
        <v>212</v>
      </c>
      <c r="V4" s="34" t="s">
        <v>82</v>
      </c>
      <c r="X4" s="151" t="s">
        <v>105</v>
      </c>
      <c r="Z4" s="36" t="s">
        <v>86</v>
      </c>
      <c r="AB4" s="108">
        <v>0.3333333333333333</v>
      </c>
      <c r="AD4" s="109" t="s">
        <v>97</v>
      </c>
      <c r="AF4" s="280" t="str">
        <f>T4</f>
        <v>＃486</v>
      </c>
      <c r="AG4" s="238">
        <f>R4</f>
        <v>42386</v>
      </c>
      <c r="AH4" s="237" t="s">
        <v>166</v>
      </c>
      <c r="AI4" s="237" t="s">
        <v>345</v>
      </c>
      <c r="AJ4" s="237" t="s">
        <v>35</v>
      </c>
      <c r="AK4" s="237"/>
      <c r="AL4" s="281">
        <v>0.4166666666666667</v>
      </c>
    </row>
    <row r="5" spans="2:38" ht="15.75" thickBot="1">
      <c r="B5" s="22">
        <v>2</v>
      </c>
      <c r="C5" s="336">
        <v>4010</v>
      </c>
      <c r="D5" s="329" t="s">
        <v>178</v>
      </c>
      <c r="E5" s="325">
        <v>10.205</v>
      </c>
      <c r="F5" s="326">
        <v>747.7</v>
      </c>
      <c r="G5" s="326">
        <v>527.2</v>
      </c>
      <c r="H5" s="326">
        <v>422.2</v>
      </c>
      <c r="J5" s="31" t="s">
        <v>61</v>
      </c>
      <c r="K5" s="128">
        <v>9.1</v>
      </c>
      <c r="L5" s="32" t="s">
        <v>101</v>
      </c>
      <c r="P5" s="36" t="s">
        <v>312</v>
      </c>
      <c r="R5" s="134">
        <v>42421</v>
      </c>
      <c r="T5" s="73" t="s">
        <v>213</v>
      </c>
      <c r="V5" s="34" t="s">
        <v>83</v>
      </c>
      <c r="X5" s="35"/>
      <c r="Z5" s="36" t="s">
        <v>87</v>
      </c>
      <c r="AB5" s="108">
        <v>0.3541666666666667</v>
      </c>
      <c r="AD5" s="109" t="s">
        <v>98</v>
      </c>
      <c r="AF5" s="280" t="str">
        <f aca="true" t="shared" si="0" ref="AF5:AF16">T5</f>
        <v>＃487</v>
      </c>
      <c r="AG5" s="238">
        <f aca="true" t="shared" si="1" ref="AG5:AG16">R5</f>
        <v>42421</v>
      </c>
      <c r="AH5" s="237" t="s">
        <v>342</v>
      </c>
      <c r="AI5" s="237" t="s">
        <v>34</v>
      </c>
      <c r="AJ5" s="237" t="s">
        <v>53</v>
      </c>
      <c r="AK5" s="237"/>
      <c r="AL5" s="281">
        <v>0.4375</v>
      </c>
    </row>
    <row r="6" spans="2:38" ht="15.75" thickBot="1">
      <c r="B6" s="22">
        <v>3</v>
      </c>
      <c r="C6" s="323">
        <v>380</v>
      </c>
      <c r="D6" s="324" t="s">
        <v>179</v>
      </c>
      <c r="E6" s="325">
        <v>10.197</v>
      </c>
      <c r="F6" s="326">
        <v>748</v>
      </c>
      <c r="G6" s="326">
        <v>527.3</v>
      </c>
      <c r="H6" s="326">
        <v>422.3</v>
      </c>
      <c r="J6" s="31" t="s">
        <v>225</v>
      </c>
      <c r="K6" s="128">
        <v>17.2</v>
      </c>
      <c r="L6" s="32" t="s">
        <v>98</v>
      </c>
      <c r="P6" s="36" t="s">
        <v>313</v>
      </c>
      <c r="R6" s="134">
        <v>42449</v>
      </c>
      <c r="T6" s="73" t="s">
        <v>214</v>
      </c>
      <c r="V6" s="35"/>
      <c r="Z6" s="36" t="s">
        <v>88</v>
      </c>
      <c r="AB6" s="108">
        <v>0.375</v>
      </c>
      <c r="AD6" s="109" t="s">
        <v>100</v>
      </c>
      <c r="AF6" s="280" t="str">
        <f t="shared" si="0"/>
        <v>＃488</v>
      </c>
      <c r="AG6" s="238">
        <f t="shared" si="1"/>
        <v>42449</v>
      </c>
      <c r="AH6" s="237" t="s">
        <v>343</v>
      </c>
      <c r="AI6" s="237" t="s">
        <v>303</v>
      </c>
      <c r="AJ6" s="237"/>
      <c r="AK6" s="237"/>
      <c r="AL6" s="281">
        <v>0.3958333333333333</v>
      </c>
    </row>
    <row r="7" spans="2:38" ht="15.75" thickBot="1">
      <c r="B7" s="22">
        <v>4</v>
      </c>
      <c r="C7" s="319">
        <v>4600</v>
      </c>
      <c r="D7" s="320" t="s">
        <v>51</v>
      </c>
      <c r="E7" s="321">
        <v>10.185</v>
      </c>
      <c r="F7" s="322">
        <v>748.3</v>
      </c>
      <c r="G7" s="322">
        <v>527.6</v>
      </c>
      <c r="H7" s="322">
        <v>422.5</v>
      </c>
      <c r="J7" s="31" t="s">
        <v>64</v>
      </c>
      <c r="K7" s="128">
        <v>21.5</v>
      </c>
      <c r="L7" s="32" t="s">
        <v>98</v>
      </c>
      <c r="P7" s="36" t="s">
        <v>314</v>
      </c>
      <c r="R7" s="134">
        <v>42477</v>
      </c>
      <c r="T7" s="73" t="s">
        <v>215</v>
      </c>
      <c r="Z7" s="74"/>
      <c r="AB7" s="108">
        <v>0.3958333333333333</v>
      </c>
      <c r="AD7" s="110"/>
      <c r="AF7" s="280" t="str">
        <f t="shared" si="0"/>
        <v>＃489</v>
      </c>
      <c r="AG7" s="238">
        <f t="shared" si="1"/>
        <v>42477</v>
      </c>
      <c r="AH7" s="237" t="s">
        <v>344</v>
      </c>
      <c r="AI7" s="237" t="s">
        <v>346</v>
      </c>
      <c r="AJ7" s="237"/>
      <c r="AK7" s="237"/>
      <c r="AL7" s="281">
        <v>0.4375</v>
      </c>
    </row>
    <row r="8" spans="2:38" ht="15">
      <c r="B8" s="22">
        <v>5</v>
      </c>
      <c r="C8" s="328"/>
      <c r="D8" s="329" t="s">
        <v>180</v>
      </c>
      <c r="E8" s="325">
        <v>10.144</v>
      </c>
      <c r="F8" s="326">
        <v>749.5</v>
      </c>
      <c r="G8" s="326">
        <v>528.4</v>
      </c>
      <c r="H8" s="326">
        <v>423.3</v>
      </c>
      <c r="J8" s="31" t="s">
        <v>62</v>
      </c>
      <c r="K8" s="128">
        <v>11.3</v>
      </c>
      <c r="L8" s="32" t="s">
        <v>97</v>
      </c>
      <c r="P8" s="36" t="s">
        <v>315</v>
      </c>
      <c r="R8" s="134">
        <v>42505</v>
      </c>
      <c r="T8" s="73" t="s">
        <v>216</v>
      </c>
      <c r="AB8" s="108">
        <v>0.4166666666666667</v>
      </c>
      <c r="AF8" s="280" t="str">
        <f t="shared" si="0"/>
        <v>＃490</v>
      </c>
      <c r="AG8" s="238">
        <f t="shared" si="1"/>
        <v>42505</v>
      </c>
      <c r="AH8" s="237" t="s">
        <v>168</v>
      </c>
      <c r="AI8" s="237" t="s">
        <v>30</v>
      </c>
      <c r="AJ8" s="237"/>
      <c r="AK8" s="237"/>
      <c r="AL8" s="281"/>
    </row>
    <row r="9" spans="2:38" ht="15">
      <c r="B9" s="22">
        <v>6</v>
      </c>
      <c r="C9" s="311">
        <v>6352</v>
      </c>
      <c r="D9" s="312" t="s">
        <v>181</v>
      </c>
      <c r="E9" s="309">
        <v>9.81</v>
      </c>
      <c r="F9" s="310">
        <v>759.4</v>
      </c>
      <c r="G9" s="310">
        <v>535.7</v>
      </c>
      <c r="H9" s="310">
        <v>429.3</v>
      </c>
      <c r="J9" s="31" t="s">
        <v>63</v>
      </c>
      <c r="K9" s="128">
        <v>22.6</v>
      </c>
      <c r="L9" s="32" t="s">
        <v>98</v>
      </c>
      <c r="P9" s="36" t="s">
        <v>316</v>
      </c>
      <c r="R9" s="134">
        <v>42540</v>
      </c>
      <c r="T9" s="73" t="s">
        <v>217</v>
      </c>
      <c r="AB9" s="108">
        <v>0.4375</v>
      </c>
      <c r="AF9" s="280" t="str">
        <f t="shared" si="0"/>
        <v>＃491</v>
      </c>
      <c r="AG9" s="238">
        <f t="shared" si="1"/>
        <v>42540</v>
      </c>
      <c r="AH9" s="237" t="s">
        <v>113</v>
      </c>
      <c r="AI9" s="237" t="s">
        <v>49</v>
      </c>
      <c r="AJ9" s="237"/>
      <c r="AK9" s="237"/>
      <c r="AL9" s="281">
        <v>0.4375</v>
      </c>
    </row>
    <row r="10" spans="2:38" ht="15">
      <c r="B10" s="22">
        <v>7</v>
      </c>
      <c r="C10" s="328">
        <v>1733</v>
      </c>
      <c r="D10" s="329" t="s">
        <v>167</v>
      </c>
      <c r="E10" s="325">
        <v>9.515</v>
      </c>
      <c r="F10" s="326">
        <v>768.4</v>
      </c>
      <c r="G10" s="326">
        <v>542.1</v>
      </c>
      <c r="H10" s="326">
        <v>434.8</v>
      </c>
      <c r="J10" s="31" t="s">
        <v>66</v>
      </c>
      <c r="K10" s="128">
        <v>6</v>
      </c>
      <c r="L10" s="32" t="s">
        <v>97</v>
      </c>
      <c r="P10" s="36" t="s">
        <v>317</v>
      </c>
      <c r="R10" s="134">
        <v>42568</v>
      </c>
      <c r="T10" s="73" t="s">
        <v>218</v>
      </c>
      <c r="AB10" s="108">
        <v>0.4583333333333333</v>
      </c>
      <c r="AF10" s="280" t="str">
        <f t="shared" si="0"/>
        <v>＃492</v>
      </c>
      <c r="AG10" s="238">
        <f>R10</f>
        <v>42568</v>
      </c>
      <c r="AH10" s="237" t="s">
        <v>416</v>
      </c>
      <c r="AI10" s="237" t="s">
        <v>304</v>
      </c>
      <c r="AJ10" s="237"/>
      <c r="AK10" s="237"/>
      <c r="AL10" s="282"/>
    </row>
    <row r="11" spans="2:38" ht="15">
      <c r="B11" s="22">
        <v>8</v>
      </c>
      <c r="C11" s="328">
        <v>321</v>
      </c>
      <c r="D11" s="329" t="s">
        <v>35</v>
      </c>
      <c r="E11" s="325">
        <v>9.242</v>
      </c>
      <c r="F11" s="326">
        <v>777.2</v>
      </c>
      <c r="G11" s="326">
        <v>548.5</v>
      </c>
      <c r="H11" s="326">
        <v>440.1</v>
      </c>
      <c r="J11" s="42" t="s">
        <v>59</v>
      </c>
      <c r="K11" s="128">
        <v>47.4</v>
      </c>
      <c r="L11" s="130" t="s">
        <v>99</v>
      </c>
      <c r="P11" s="36" t="s">
        <v>318</v>
      </c>
      <c r="R11" s="134">
        <v>42603</v>
      </c>
      <c r="T11" s="73" t="s">
        <v>219</v>
      </c>
      <c r="AB11" s="108">
        <v>0.4791666666666667</v>
      </c>
      <c r="AF11" s="280" t="str">
        <f t="shared" si="0"/>
        <v>＃493</v>
      </c>
      <c r="AG11" s="238">
        <f t="shared" si="1"/>
        <v>42603</v>
      </c>
      <c r="AH11" s="237" t="s">
        <v>417</v>
      </c>
      <c r="AI11" s="237" t="s">
        <v>264</v>
      </c>
      <c r="AJ11" s="237"/>
      <c r="AK11" s="237" t="s">
        <v>50</v>
      </c>
      <c r="AL11" s="281">
        <v>0.3958333333333333</v>
      </c>
    </row>
    <row r="12" spans="2:38" ht="15.75" thickBot="1">
      <c r="B12" s="22">
        <v>9</v>
      </c>
      <c r="C12" s="319">
        <v>6714</v>
      </c>
      <c r="D12" s="320" t="s">
        <v>182</v>
      </c>
      <c r="E12" s="321">
        <v>9.218</v>
      </c>
      <c r="F12" s="322">
        <v>778</v>
      </c>
      <c r="G12" s="322">
        <v>549.1</v>
      </c>
      <c r="H12" s="322">
        <v>440.6</v>
      </c>
      <c r="J12" s="42" t="s">
        <v>80</v>
      </c>
      <c r="K12" s="110"/>
      <c r="L12" s="94"/>
      <c r="P12" s="36" t="s">
        <v>319</v>
      </c>
      <c r="R12" s="134">
        <v>42617</v>
      </c>
      <c r="T12" s="73" t="s">
        <v>220</v>
      </c>
      <c r="AB12" s="35"/>
      <c r="AF12" s="280" t="str">
        <f t="shared" si="0"/>
        <v>＃494</v>
      </c>
      <c r="AG12" s="238">
        <f t="shared" si="1"/>
        <v>42617</v>
      </c>
      <c r="AH12" s="237" t="s">
        <v>267</v>
      </c>
      <c r="AI12" s="237" t="s">
        <v>268</v>
      </c>
      <c r="AJ12" s="237"/>
      <c r="AK12" s="237"/>
      <c r="AL12" s="281"/>
    </row>
    <row r="13" spans="2:38" ht="15">
      <c r="B13" s="22">
        <v>10</v>
      </c>
      <c r="C13" s="328">
        <v>2221</v>
      </c>
      <c r="D13" s="329" t="s">
        <v>44</v>
      </c>
      <c r="E13" s="325">
        <v>9.158</v>
      </c>
      <c r="F13" s="326">
        <v>780</v>
      </c>
      <c r="G13" s="326">
        <v>550.5</v>
      </c>
      <c r="H13" s="326">
        <v>441.8</v>
      </c>
      <c r="J13" s="149" t="s">
        <v>104</v>
      </c>
      <c r="K13" s="128">
        <v>11.3</v>
      </c>
      <c r="L13" s="32" t="s">
        <v>98</v>
      </c>
      <c r="P13" s="36" t="s">
        <v>319</v>
      </c>
      <c r="R13" s="134">
        <v>42631</v>
      </c>
      <c r="T13" s="73" t="s">
        <v>221</v>
      </c>
      <c r="AF13" s="280" t="str">
        <f t="shared" si="0"/>
        <v>＃495</v>
      </c>
      <c r="AG13" s="238">
        <f t="shared" si="1"/>
        <v>42631</v>
      </c>
      <c r="AH13" s="237" t="s">
        <v>418</v>
      </c>
      <c r="AI13" s="237" t="s">
        <v>271</v>
      </c>
      <c r="AJ13" s="237" t="s">
        <v>179</v>
      </c>
      <c r="AK13" s="237"/>
      <c r="AL13" s="281">
        <v>0.3958333333333333</v>
      </c>
    </row>
    <row r="14" spans="2:38" ht="15">
      <c r="B14" s="22">
        <v>11</v>
      </c>
      <c r="C14" s="328">
        <v>199</v>
      </c>
      <c r="D14" s="329" t="s">
        <v>33</v>
      </c>
      <c r="E14" s="325">
        <v>9.03</v>
      </c>
      <c r="F14" s="326">
        <v>784.3</v>
      </c>
      <c r="G14" s="326">
        <v>553.6</v>
      </c>
      <c r="H14" s="326">
        <v>444.5</v>
      </c>
      <c r="J14" s="150" t="s">
        <v>175</v>
      </c>
      <c r="K14" s="110">
        <v>10</v>
      </c>
      <c r="L14" s="94" t="s">
        <v>97</v>
      </c>
      <c r="P14" s="36" t="s">
        <v>320</v>
      </c>
      <c r="R14" s="134">
        <v>42659</v>
      </c>
      <c r="T14" s="73" t="s">
        <v>222</v>
      </c>
      <c r="AF14" s="280" t="str">
        <f t="shared" si="0"/>
        <v>＃496</v>
      </c>
      <c r="AG14" s="238">
        <f t="shared" si="1"/>
        <v>42659</v>
      </c>
      <c r="AH14" s="237" t="s">
        <v>113</v>
      </c>
      <c r="AI14" s="237" t="s">
        <v>178</v>
      </c>
      <c r="AJ14" s="237"/>
      <c r="AK14" s="237"/>
      <c r="AL14" s="281">
        <v>0.4375</v>
      </c>
    </row>
    <row r="15" spans="2:38" ht="15">
      <c r="B15" s="22">
        <v>12</v>
      </c>
      <c r="C15" s="319">
        <v>2212</v>
      </c>
      <c r="D15" s="320" t="s">
        <v>43</v>
      </c>
      <c r="E15" s="321">
        <v>8.952</v>
      </c>
      <c r="F15" s="322">
        <v>786.9</v>
      </c>
      <c r="G15" s="322">
        <v>555.5</v>
      </c>
      <c r="H15" s="322">
        <v>446.1</v>
      </c>
      <c r="J15" s="150"/>
      <c r="K15" s="110"/>
      <c r="L15" s="94"/>
      <c r="P15" s="36" t="s">
        <v>321</v>
      </c>
      <c r="R15" s="134">
        <v>42694</v>
      </c>
      <c r="T15" s="73" t="s">
        <v>223</v>
      </c>
      <c r="AF15" s="280" t="str">
        <f t="shared" si="0"/>
        <v>＃497</v>
      </c>
      <c r="AG15" s="238">
        <f t="shared" si="1"/>
        <v>42694</v>
      </c>
      <c r="AH15" s="237" t="s">
        <v>419</v>
      </c>
      <c r="AI15" s="237" t="s">
        <v>45</v>
      </c>
      <c r="AJ15" s="237" t="s">
        <v>167</v>
      </c>
      <c r="AK15" s="237"/>
      <c r="AL15" s="281">
        <v>0.3958333333333333</v>
      </c>
    </row>
    <row r="16" spans="2:38" ht="15.75" thickBot="1">
      <c r="B16" s="22">
        <v>12</v>
      </c>
      <c r="C16" s="319">
        <v>120</v>
      </c>
      <c r="D16" s="320" t="s">
        <v>29</v>
      </c>
      <c r="E16" s="321">
        <v>8.911</v>
      </c>
      <c r="F16" s="322">
        <v>788.3</v>
      </c>
      <c r="G16" s="322">
        <v>556.5</v>
      </c>
      <c r="H16" s="322">
        <v>446.9</v>
      </c>
      <c r="J16" s="41"/>
      <c r="K16" s="131"/>
      <c r="L16" s="40"/>
      <c r="P16" s="36" t="s">
        <v>322</v>
      </c>
      <c r="R16" s="134">
        <v>42722</v>
      </c>
      <c r="T16" s="73" t="s">
        <v>224</v>
      </c>
      <c r="AF16" s="283" t="str">
        <f t="shared" si="0"/>
        <v>＃498</v>
      </c>
      <c r="AG16" s="284">
        <f t="shared" si="1"/>
        <v>42722</v>
      </c>
      <c r="AH16" s="285" t="s">
        <v>113</v>
      </c>
      <c r="AI16" s="285" t="s">
        <v>305</v>
      </c>
      <c r="AJ16" s="285"/>
      <c r="AK16" s="285"/>
      <c r="AL16" s="286">
        <v>0.4375</v>
      </c>
    </row>
    <row r="17" spans="2:38" ht="15.75" thickBot="1">
      <c r="B17" s="22">
        <v>13</v>
      </c>
      <c r="C17" s="328">
        <v>1403</v>
      </c>
      <c r="D17" s="329" t="s">
        <v>183</v>
      </c>
      <c r="E17" s="325">
        <v>8.901</v>
      </c>
      <c r="F17" s="326">
        <v>788.6</v>
      </c>
      <c r="G17" s="326">
        <v>556.8</v>
      </c>
      <c r="H17" s="326">
        <v>447.1</v>
      </c>
      <c r="P17" s="74"/>
      <c r="R17" s="134"/>
      <c r="T17" s="73"/>
      <c r="AF17" s="230"/>
      <c r="AG17" s="230"/>
      <c r="AH17" s="230"/>
      <c r="AI17" s="230"/>
      <c r="AJ17" s="230"/>
      <c r="AK17" s="230"/>
      <c r="AL17" s="230"/>
    </row>
    <row r="18" spans="2:38" ht="15.75" thickBot="1">
      <c r="B18" s="22">
        <v>14</v>
      </c>
      <c r="C18" s="328">
        <v>667</v>
      </c>
      <c r="D18" s="329" t="s">
        <v>38</v>
      </c>
      <c r="E18" s="325">
        <v>8.599</v>
      </c>
      <c r="F18" s="326">
        <v>799.3</v>
      </c>
      <c r="G18" s="326">
        <v>564.5</v>
      </c>
      <c r="H18" s="326">
        <v>453.7</v>
      </c>
      <c r="R18" s="135"/>
      <c r="T18" s="161"/>
      <c r="AF18" s="230"/>
      <c r="AG18" s="239" t="s">
        <v>171</v>
      </c>
      <c r="AH18" s="230" t="s">
        <v>172</v>
      </c>
      <c r="AI18" s="230"/>
      <c r="AJ18" s="230"/>
      <c r="AK18" s="230"/>
      <c r="AL18" s="230"/>
    </row>
    <row r="19" spans="2:8" ht="15">
      <c r="B19" s="22">
        <v>15</v>
      </c>
      <c r="C19" s="335">
        <v>5854</v>
      </c>
      <c r="D19" s="327" t="s">
        <v>184</v>
      </c>
      <c r="E19" s="321">
        <v>8.793</v>
      </c>
      <c r="F19" s="322">
        <v>792.4</v>
      </c>
      <c r="G19" s="322">
        <v>559.5</v>
      </c>
      <c r="H19" s="322">
        <v>449.5</v>
      </c>
    </row>
    <row r="20" spans="2:8" ht="15">
      <c r="B20" s="22">
        <v>16</v>
      </c>
      <c r="C20" s="323">
        <v>1545</v>
      </c>
      <c r="D20" s="324" t="s">
        <v>39</v>
      </c>
      <c r="E20" s="325">
        <v>8.59</v>
      </c>
      <c r="F20" s="326">
        <v>799.7</v>
      </c>
      <c r="G20" s="326">
        <v>564.8</v>
      </c>
      <c r="H20" s="326">
        <v>453.9</v>
      </c>
    </row>
    <row r="21" spans="2:8" ht="15">
      <c r="B21" s="22">
        <v>17</v>
      </c>
      <c r="C21" s="319">
        <v>3387</v>
      </c>
      <c r="D21" s="320" t="s">
        <v>185</v>
      </c>
      <c r="E21" s="321">
        <v>8.582</v>
      </c>
      <c r="F21" s="322">
        <v>800</v>
      </c>
      <c r="G21" s="322">
        <v>565</v>
      </c>
      <c r="H21" s="322">
        <v>454.1</v>
      </c>
    </row>
    <row r="22" spans="2:8" ht="15">
      <c r="B22" s="22">
        <v>18</v>
      </c>
      <c r="C22" s="328">
        <v>5496</v>
      </c>
      <c r="D22" s="329" t="s">
        <v>186</v>
      </c>
      <c r="E22" s="325">
        <v>8.56</v>
      </c>
      <c r="F22" s="326">
        <v>800.8</v>
      </c>
      <c r="G22" s="326">
        <v>565.6</v>
      </c>
      <c r="H22" s="326">
        <v>454.5</v>
      </c>
    </row>
    <row r="23" spans="2:8" ht="15">
      <c r="B23" s="22">
        <v>19</v>
      </c>
      <c r="C23" s="328">
        <v>346</v>
      </c>
      <c r="D23" s="324" t="s">
        <v>36</v>
      </c>
      <c r="E23" s="325">
        <v>8.495</v>
      </c>
      <c r="F23" s="326">
        <v>803.2</v>
      </c>
      <c r="G23" s="326">
        <v>567.3</v>
      </c>
      <c r="H23" s="326">
        <v>456</v>
      </c>
    </row>
    <row r="24" spans="2:9" ht="15">
      <c r="B24" s="22">
        <v>20</v>
      </c>
      <c r="C24" s="328">
        <v>6766</v>
      </c>
      <c r="D24" s="324" t="s">
        <v>201</v>
      </c>
      <c r="E24" s="325">
        <v>8.443</v>
      </c>
      <c r="F24" s="326">
        <v>805.1</v>
      </c>
      <c r="G24" s="326">
        <v>568.7</v>
      </c>
      <c r="H24" s="326">
        <v>457.2</v>
      </c>
      <c r="I24" t="s">
        <v>205</v>
      </c>
    </row>
    <row r="25" spans="2:8" ht="15">
      <c r="B25" s="22">
        <v>21</v>
      </c>
      <c r="C25" s="328">
        <v>1611</v>
      </c>
      <c r="D25" s="329" t="s">
        <v>169</v>
      </c>
      <c r="E25" s="325">
        <v>8.438</v>
      </c>
      <c r="F25" s="326">
        <v>805.3</v>
      </c>
      <c r="G25" s="326">
        <v>568.8</v>
      </c>
      <c r="H25" s="326">
        <v>457.3</v>
      </c>
    </row>
    <row r="26" spans="2:8" ht="15">
      <c r="B26" s="22">
        <v>22</v>
      </c>
      <c r="C26" s="337">
        <v>3001</v>
      </c>
      <c r="D26" s="338" t="s">
        <v>47</v>
      </c>
      <c r="E26" s="339">
        <v>8.43</v>
      </c>
      <c r="F26" s="340">
        <v>805.6</v>
      </c>
      <c r="G26" s="340">
        <v>569</v>
      </c>
      <c r="H26" s="340">
        <v>457.5</v>
      </c>
    </row>
    <row r="27" spans="2:8" ht="15">
      <c r="B27" s="22">
        <v>23</v>
      </c>
      <c r="C27" s="319">
        <v>312</v>
      </c>
      <c r="D27" s="320" t="s">
        <v>34</v>
      </c>
      <c r="E27" s="321">
        <v>8.359</v>
      </c>
      <c r="F27" s="322">
        <v>808.2</v>
      </c>
      <c r="G27" s="322">
        <v>571</v>
      </c>
      <c r="H27" s="322">
        <v>459.1</v>
      </c>
    </row>
    <row r="28" spans="2:8" ht="15">
      <c r="B28" s="22">
        <v>24</v>
      </c>
      <c r="C28" s="328">
        <v>131</v>
      </c>
      <c r="D28" s="329" t="s">
        <v>30</v>
      </c>
      <c r="E28" s="325">
        <v>8.317</v>
      </c>
      <c r="F28" s="326">
        <v>809.8</v>
      </c>
      <c r="G28" s="326">
        <v>572.1</v>
      </c>
      <c r="H28" s="326">
        <v>460.1</v>
      </c>
    </row>
    <row r="29" spans="2:8" ht="15">
      <c r="B29" s="22">
        <v>25</v>
      </c>
      <c r="C29" s="328">
        <v>1555</v>
      </c>
      <c r="D29" s="329" t="s">
        <v>40</v>
      </c>
      <c r="E29" s="325">
        <v>8.105</v>
      </c>
      <c r="F29" s="326">
        <v>818</v>
      </c>
      <c r="G29" s="326">
        <v>578.1</v>
      </c>
      <c r="H29" s="326">
        <v>465.1</v>
      </c>
    </row>
    <row r="30" spans="2:8" ht="15">
      <c r="B30" s="22">
        <v>26</v>
      </c>
      <c r="C30" s="328">
        <v>164</v>
      </c>
      <c r="D30" s="329" t="s">
        <v>31</v>
      </c>
      <c r="E30" s="325">
        <v>8.094</v>
      </c>
      <c r="F30" s="326">
        <v>818.4</v>
      </c>
      <c r="G30" s="326">
        <v>578.4</v>
      </c>
      <c r="H30" s="326">
        <v>465.4</v>
      </c>
    </row>
    <row r="31" spans="2:8" ht="15">
      <c r="B31" s="22">
        <v>27</v>
      </c>
      <c r="C31" s="328">
        <v>157</v>
      </c>
      <c r="D31" s="329" t="s">
        <v>187</v>
      </c>
      <c r="E31" s="325">
        <v>8.076</v>
      </c>
      <c r="F31" s="326">
        <v>819.2</v>
      </c>
      <c r="G31" s="326">
        <v>578.9</v>
      </c>
      <c r="H31" s="326">
        <v>465.8</v>
      </c>
    </row>
    <row r="32" spans="2:8" ht="15">
      <c r="B32" s="22">
        <v>28</v>
      </c>
      <c r="C32" s="328">
        <v>360</v>
      </c>
      <c r="D32" s="329" t="s">
        <v>188</v>
      </c>
      <c r="E32" s="325">
        <v>8.016</v>
      </c>
      <c r="F32" s="326">
        <v>821.6</v>
      </c>
      <c r="G32" s="326">
        <v>580.6</v>
      </c>
      <c r="H32" s="326">
        <v>467.3</v>
      </c>
    </row>
    <row r="33" spans="2:8" ht="15">
      <c r="B33" s="22">
        <v>29</v>
      </c>
      <c r="C33" s="331">
        <v>381</v>
      </c>
      <c r="D33" s="332" t="s">
        <v>37</v>
      </c>
      <c r="E33" s="333">
        <v>8.013</v>
      </c>
      <c r="F33" s="334">
        <v>821.7</v>
      </c>
      <c r="G33" s="334">
        <v>580.7</v>
      </c>
      <c r="H33" s="334">
        <v>467.3</v>
      </c>
    </row>
    <row r="34" spans="2:8" ht="15">
      <c r="B34" s="22">
        <v>30</v>
      </c>
      <c r="C34" s="311">
        <v>1702</v>
      </c>
      <c r="D34" s="312" t="s">
        <v>41</v>
      </c>
      <c r="E34" s="305">
        <v>8</v>
      </c>
      <c r="F34" s="306">
        <v>822.1</v>
      </c>
      <c r="G34" s="306">
        <v>581</v>
      </c>
      <c r="H34" s="306">
        <v>467.6</v>
      </c>
    </row>
    <row r="35" spans="2:8" ht="15">
      <c r="B35" s="22">
        <v>31</v>
      </c>
      <c r="C35" s="328">
        <v>4832</v>
      </c>
      <c r="D35" s="329" t="s">
        <v>189</v>
      </c>
      <c r="E35" s="325">
        <v>7.957</v>
      </c>
      <c r="F35" s="326">
        <v>823.9</v>
      </c>
      <c r="G35" s="326">
        <v>582.3</v>
      </c>
      <c r="H35" s="326">
        <v>468.7</v>
      </c>
    </row>
    <row r="36" spans="2:8" ht="15">
      <c r="B36" s="22">
        <v>32</v>
      </c>
      <c r="C36" s="328">
        <v>4400</v>
      </c>
      <c r="D36" s="329" t="s">
        <v>49</v>
      </c>
      <c r="E36" s="325">
        <v>7.836</v>
      </c>
      <c r="F36" s="326">
        <v>828.9</v>
      </c>
      <c r="G36" s="326">
        <v>585.9</v>
      </c>
      <c r="H36" s="326">
        <v>471.7</v>
      </c>
    </row>
    <row r="37" spans="2:8" ht="15">
      <c r="B37" s="22">
        <v>33</v>
      </c>
      <c r="C37" s="319"/>
      <c r="D37" s="320" t="s">
        <v>190</v>
      </c>
      <c r="E37" s="321">
        <v>7.823</v>
      </c>
      <c r="F37" s="322">
        <v>829.4</v>
      </c>
      <c r="G37" s="322">
        <v>586.3</v>
      </c>
      <c r="H37" s="322">
        <v>472.1</v>
      </c>
    </row>
    <row r="38" spans="2:8" ht="15">
      <c r="B38" s="22">
        <v>34</v>
      </c>
      <c r="C38" s="318">
        <v>5755</v>
      </c>
      <c r="D38" s="327" t="s">
        <v>191</v>
      </c>
      <c r="E38" s="321">
        <v>7.789</v>
      </c>
      <c r="F38" s="322">
        <v>830.8</v>
      </c>
      <c r="G38" s="322">
        <v>587.4</v>
      </c>
      <c r="H38" s="322">
        <v>472.9</v>
      </c>
    </row>
    <row r="39" spans="2:8" ht="15">
      <c r="B39" s="22">
        <v>35</v>
      </c>
      <c r="C39" s="319">
        <v>6696</v>
      </c>
      <c r="D39" s="320" t="s">
        <v>192</v>
      </c>
      <c r="E39" s="321">
        <v>7.702</v>
      </c>
      <c r="F39" s="322">
        <v>834.4</v>
      </c>
      <c r="G39" s="322">
        <v>590</v>
      </c>
      <c r="H39" s="322">
        <v>475.2</v>
      </c>
    </row>
    <row r="40" spans="2:8" ht="15">
      <c r="B40" s="22">
        <v>36</v>
      </c>
      <c r="C40" s="323">
        <v>1911</v>
      </c>
      <c r="D40" s="330" t="s">
        <v>193</v>
      </c>
      <c r="E40" s="325">
        <v>7.608</v>
      </c>
      <c r="F40" s="326">
        <v>838.5</v>
      </c>
      <c r="G40" s="326">
        <v>592.9</v>
      </c>
      <c r="H40" s="326">
        <v>477.6</v>
      </c>
    </row>
    <row r="41" spans="2:8" ht="15">
      <c r="B41" s="22">
        <v>37</v>
      </c>
      <c r="C41" s="328"/>
      <c r="D41" s="329" t="s">
        <v>194</v>
      </c>
      <c r="E41" s="325">
        <v>7.271</v>
      </c>
      <c r="F41" s="326">
        <v>853.4</v>
      </c>
      <c r="G41" s="326">
        <v>603.7</v>
      </c>
      <c r="H41" s="326">
        <v>486.8</v>
      </c>
    </row>
    <row r="42" spans="2:8" ht="15">
      <c r="B42" s="22">
        <v>38</v>
      </c>
      <c r="C42" s="328">
        <v>178</v>
      </c>
      <c r="D42" s="329" t="s">
        <v>32</v>
      </c>
      <c r="E42" s="325">
        <v>7.161</v>
      </c>
      <c r="F42" s="326">
        <v>858.5</v>
      </c>
      <c r="G42" s="326">
        <v>607.4</v>
      </c>
      <c r="H42" s="326">
        <v>489.9</v>
      </c>
    </row>
    <row r="43" spans="2:8" ht="15">
      <c r="B43" s="22">
        <v>39</v>
      </c>
      <c r="C43" s="328">
        <v>4323</v>
      </c>
      <c r="D43" s="329" t="s">
        <v>48</v>
      </c>
      <c r="E43" s="325">
        <v>7.084</v>
      </c>
      <c r="F43" s="326">
        <v>862.1</v>
      </c>
      <c r="G43" s="326">
        <v>610.1</v>
      </c>
      <c r="H43" s="326">
        <v>492.2</v>
      </c>
    </row>
    <row r="44" spans="2:8" ht="15">
      <c r="B44" s="22">
        <v>40</v>
      </c>
      <c r="C44" s="328">
        <v>1985</v>
      </c>
      <c r="D44" s="329" t="s">
        <v>42</v>
      </c>
      <c r="E44" s="325">
        <v>7.059</v>
      </c>
      <c r="F44" s="326">
        <v>863.3</v>
      </c>
      <c r="G44" s="326">
        <v>610.9</v>
      </c>
      <c r="H44" s="326">
        <v>492.9</v>
      </c>
    </row>
    <row r="45" spans="2:8" ht="15">
      <c r="B45" s="22">
        <v>41</v>
      </c>
      <c r="C45" s="328">
        <v>4469</v>
      </c>
      <c r="D45" s="329" t="s">
        <v>50</v>
      </c>
      <c r="E45" s="325">
        <v>7.011</v>
      </c>
      <c r="F45" s="326">
        <v>865.6</v>
      </c>
      <c r="G45" s="326">
        <v>612.6</v>
      </c>
      <c r="H45" s="326">
        <v>494.3</v>
      </c>
    </row>
    <row r="46" spans="2:8" ht="15">
      <c r="B46" s="22">
        <v>42</v>
      </c>
      <c r="C46" s="328">
        <v>319</v>
      </c>
      <c r="D46" s="329" t="s">
        <v>195</v>
      </c>
      <c r="E46" s="325">
        <v>6.979</v>
      </c>
      <c r="F46" s="326">
        <v>867.2</v>
      </c>
      <c r="G46" s="326">
        <v>613.7</v>
      </c>
      <c r="H46" s="326">
        <v>495.3</v>
      </c>
    </row>
    <row r="47" spans="2:8" ht="15">
      <c r="B47" s="22">
        <v>43</v>
      </c>
      <c r="C47" s="319">
        <v>162</v>
      </c>
      <c r="D47" s="320" t="s">
        <v>170</v>
      </c>
      <c r="E47" s="321">
        <v>6.838</v>
      </c>
      <c r="F47" s="322">
        <v>874.1</v>
      </c>
      <c r="G47" s="322">
        <v>618.7</v>
      </c>
      <c r="H47" s="322">
        <v>499.5</v>
      </c>
    </row>
    <row r="48" spans="2:8" ht="15">
      <c r="B48" s="22">
        <v>44</v>
      </c>
      <c r="C48" s="328">
        <v>1101</v>
      </c>
      <c r="D48" s="329" t="s">
        <v>196</v>
      </c>
      <c r="E48" s="325">
        <v>6.766</v>
      </c>
      <c r="F48" s="326">
        <v>877.7</v>
      </c>
      <c r="G48" s="326">
        <v>621.4</v>
      </c>
      <c r="H48" s="326">
        <v>501.7</v>
      </c>
    </row>
    <row r="49" spans="2:8" ht="15">
      <c r="B49" s="22">
        <v>45</v>
      </c>
      <c r="C49" s="307">
        <v>2615</v>
      </c>
      <c r="D49" s="308" t="s">
        <v>56</v>
      </c>
      <c r="E49" s="309">
        <v>6.73</v>
      </c>
      <c r="F49" s="310">
        <v>879.5</v>
      </c>
      <c r="G49" s="310">
        <v>622.6</v>
      </c>
      <c r="H49" s="310">
        <v>502.8</v>
      </c>
    </row>
    <row r="50" spans="2:8" ht="15">
      <c r="B50" s="22">
        <v>46</v>
      </c>
      <c r="C50" s="323"/>
      <c r="D50" s="324" t="s">
        <v>55</v>
      </c>
      <c r="E50" s="325">
        <v>6.712</v>
      </c>
      <c r="F50" s="326">
        <v>880.4</v>
      </c>
      <c r="G50" s="326">
        <v>623.3</v>
      </c>
      <c r="H50" s="326">
        <v>503.4</v>
      </c>
    </row>
    <row r="51" spans="2:8" ht="15">
      <c r="B51" s="22">
        <v>47</v>
      </c>
      <c r="C51" s="303"/>
      <c r="D51" s="304" t="s">
        <v>197</v>
      </c>
      <c r="E51" s="305">
        <v>6.7</v>
      </c>
      <c r="F51" s="306">
        <v>881.1</v>
      </c>
      <c r="G51" s="306">
        <v>623.8</v>
      </c>
      <c r="H51" s="306">
        <v>503.8</v>
      </c>
    </row>
    <row r="52" spans="2:8" ht="15">
      <c r="B52" s="22">
        <v>48</v>
      </c>
      <c r="C52" s="319">
        <v>2759</v>
      </c>
      <c r="D52" s="320" t="s">
        <v>46</v>
      </c>
      <c r="E52" s="321">
        <v>6.679</v>
      </c>
      <c r="F52" s="322">
        <v>882.1</v>
      </c>
      <c r="G52" s="322">
        <v>624.6</v>
      </c>
      <c r="H52" s="322">
        <v>504.5</v>
      </c>
    </row>
    <row r="53" spans="2:8" ht="15">
      <c r="B53" s="22">
        <v>49</v>
      </c>
      <c r="C53" s="319"/>
      <c r="D53" s="320" t="s">
        <v>54</v>
      </c>
      <c r="E53" s="321">
        <v>6.676</v>
      </c>
      <c r="F53" s="322">
        <v>882.3</v>
      </c>
      <c r="G53" s="322">
        <v>624.7</v>
      </c>
      <c r="H53" s="322">
        <v>504.6</v>
      </c>
    </row>
    <row r="54" spans="2:8" ht="15">
      <c r="B54" s="22">
        <v>50</v>
      </c>
      <c r="C54" s="319">
        <v>6542</v>
      </c>
      <c r="D54" s="320" t="s">
        <v>52</v>
      </c>
      <c r="E54" s="321">
        <v>6.259</v>
      </c>
      <c r="F54" s="322">
        <v>904.7</v>
      </c>
      <c r="G54" s="322">
        <v>641</v>
      </c>
      <c r="H54" s="322">
        <v>518.4</v>
      </c>
    </row>
    <row r="55" spans="2:9" ht="15">
      <c r="B55" s="22">
        <v>51</v>
      </c>
      <c r="C55" s="289">
        <v>2690</v>
      </c>
      <c r="D55" s="302" t="s">
        <v>201</v>
      </c>
      <c r="E55" s="297"/>
      <c r="F55" s="299"/>
      <c r="G55" s="299"/>
      <c r="H55" s="299"/>
      <c r="I55" t="s">
        <v>204</v>
      </c>
    </row>
    <row r="56" spans="2:8" ht="15">
      <c r="B56" s="22"/>
      <c r="C56" s="289"/>
      <c r="D56" s="288"/>
      <c r="E56" s="297"/>
      <c r="F56" s="299"/>
      <c r="G56" s="299"/>
      <c r="H56" s="299"/>
    </row>
    <row r="57" spans="2:8" ht="15">
      <c r="B57" s="22"/>
      <c r="C57" s="289"/>
      <c r="D57" s="288"/>
      <c r="E57" s="297"/>
      <c r="F57" s="299"/>
      <c r="G57" s="299"/>
      <c r="H57" s="299"/>
    </row>
    <row r="58" spans="2:8" ht="15">
      <c r="B58" s="22"/>
      <c r="C58" s="289"/>
      <c r="D58" s="288"/>
      <c r="E58" s="297"/>
      <c r="F58" s="299"/>
      <c r="G58" s="299"/>
      <c r="H58" s="299"/>
    </row>
    <row r="59" spans="2:8" ht="15">
      <c r="B59" s="22"/>
      <c r="C59" s="289"/>
      <c r="D59" s="288"/>
      <c r="E59" s="297"/>
      <c r="F59" s="300"/>
      <c r="G59" s="299"/>
      <c r="H59" s="300"/>
    </row>
    <row r="60" spans="2:8" ht="14.25">
      <c r="B60" s="84"/>
      <c r="C60" s="84"/>
      <c r="D60" s="84"/>
      <c r="E60" s="298"/>
      <c r="F60" s="301"/>
      <c r="G60" s="301"/>
      <c r="H60" s="301"/>
    </row>
    <row r="61" spans="2:8" ht="14.25">
      <c r="B61" s="84"/>
      <c r="C61" s="84"/>
      <c r="D61" s="84"/>
      <c r="E61" s="298"/>
      <c r="F61" s="301"/>
      <c r="G61" s="301"/>
      <c r="H61" s="301"/>
    </row>
    <row r="62" spans="2:8" ht="14.25">
      <c r="B62" s="84"/>
      <c r="C62" s="84"/>
      <c r="D62" s="84"/>
      <c r="E62" s="298"/>
      <c r="F62" s="301"/>
      <c r="G62" s="301"/>
      <c r="H62" s="301"/>
    </row>
    <row r="63" spans="2:8" ht="14.25">
      <c r="B63" s="84"/>
      <c r="C63" s="84"/>
      <c r="D63" s="84"/>
      <c r="E63" s="298"/>
      <c r="F63" s="301"/>
      <c r="G63" s="301"/>
      <c r="H63" s="301"/>
    </row>
    <row r="64" spans="2:8" ht="14.25">
      <c r="B64" s="84"/>
      <c r="C64" s="84"/>
      <c r="D64" s="84"/>
      <c r="E64" s="298"/>
      <c r="F64" s="301"/>
      <c r="G64" s="301"/>
      <c r="H64" s="301"/>
    </row>
    <row r="65" ht="14.25">
      <c r="B65" s="84"/>
    </row>
    <row r="66" spans="2:8" ht="14.25">
      <c r="B66" s="84"/>
      <c r="C66" s="84"/>
      <c r="D66" s="84"/>
      <c r="E66" s="298"/>
      <c r="F66" s="301"/>
      <c r="G66" s="301"/>
      <c r="H66" s="301"/>
    </row>
    <row r="67" spans="2:8" ht="14.25">
      <c r="B67" s="84"/>
      <c r="C67" s="84"/>
      <c r="D67" s="84"/>
      <c r="E67" s="298"/>
      <c r="F67" s="301"/>
      <c r="G67" s="301"/>
      <c r="H67" s="301"/>
    </row>
    <row r="68" spans="2:8" ht="14.25">
      <c r="B68" s="84"/>
      <c r="C68" s="84"/>
      <c r="D68" s="84"/>
      <c r="E68" s="298"/>
      <c r="F68" s="301"/>
      <c r="G68" s="301"/>
      <c r="H68" s="301"/>
    </row>
    <row r="69" spans="2:8" ht="14.25">
      <c r="B69" s="84"/>
      <c r="C69" s="84"/>
      <c r="D69" s="84"/>
      <c r="E69" s="298"/>
      <c r="F69" s="301"/>
      <c r="G69" s="301"/>
      <c r="H69" s="301"/>
    </row>
    <row r="70" spans="2:8" ht="14.25">
      <c r="B70" s="84"/>
      <c r="C70" s="84"/>
      <c r="D70" s="84"/>
      <c r="E70" s="298"/>
      <c r="F70" s="301"/>
      <c r="G70" s="301"/>
      <c r="H70" s="301"/>
    </row>
  </sheetData>
  <sheetProtection password="EDAE" sheet="1"/>
  <mergeCells count="1">
    <mergeCell ref="B1:H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大谷正彦</dc:creator>
  <cp:keywords/>
  <dc:description/>
  <cp:lastModifiedBy>nomura</cp:lastModifiedBy>
  <cp:lastPrinted>2016-06-19T05:59:54Z</cp:lastPrinted>
  <dcterms:created xsi:type="dcterms:W3CDTF">2015-05-21T03:15:11Z</dcterms:created>
  <dcterms:modified xsi:type="dcterms:W3CDTF">2016-07-09T02:58:05Z</dcterms:modified>
  <cp:category/>
  <cp:version/>
  <cp:contentType/>
  <cp:contentStatus/>
</cp:coreProperties>
</file>